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6DC1B434-D16C-4584-9C8E-61F1E4AE4A95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Jan'22" sheetId="19" r:id="rId1"/>
    <sheet name="Feb'22" sheetId="20" r:id="rId2"/>
    <sheet name="Mar'22" sheetId="18" r:id="rId3"/>
    <sheet name="CPDCL Q4 trueup" sheetId="21" r:id="rId4"/>
  </sheets>
  <definedNames>
    <definedName name="_xlnm.Print_Area" localSheetId="3">'CPDCL Q4 trueup'!$A$1:$Y$76</definedName>
    <definedName name="_xlnm.Print_Area" localSheetId="1">'Feb''22'!$A$1:$Y$64</definedName>
    <definedName name="_xlnm.Print_Area" localSheetId="0">'Jan''22'!$A$1:$Y$64</definedName>
    <definedName name="_xlnm.Print_Area" localSheetId="2">'Mar''22'!$A$1:$Y$64</definedName>
    <definedName name="_xlnm.Print_Titles" localSheetId="3">'CPDCL Q4 trueup'!$2:$4</definedName>
    <definedName name="_xlnm.Print_Titles" localSheetId="1">'Feb''22'!$2:$4</definedName>
    <definedName name="_xlnm.Print_Titles" localSheetId="0">'Jan''22'!$2:$4</definedName>
    <definedName name="_xlnm.Print_Titles" localSheetId="2">'Mar''22'!$2:$4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21" l="1"/>
  <c r="L74" i="21"/>
  <c r="L40" i="21" l="1"/>
  <c r="I40" i="21"/>
  <c r="M74" i="21"/>
  <c r="L35" i="21"/>
  <c r="I35" i="21"/>
  <c r="J35" i="21" s="1"/>
  <c r="H35" i="21"/>
  <c r="F35" i="21"/>
  <c r="E35" i="21"/>
  <c r="C46" i="21"/>
  <c r="C39" i="21"/>
  <c r="C21" i="21"/>
  <c r="C14" i="21"/>
  <c r="C46" i="18"/>
  <c r="C39" i="18"/>
  <c r="C21" i="18"/>
  <c r="C14" i="18"/>
  <c r="C46" i="20"/>
  <c r="C39" i="20"/>
  <c r="C21" i="20"/>
  <c r="C14" i="20"/>
  <c r="X36" i="21"/>
  <c r="W36" i="21"/>
  <c r="V36" i="21"/>
  <c r="V35" i="21"/>
  <c r="S35" i="21"/>
  <c r="P35" i="21"/>
  <c r="U62" i="21"/>
  <c r="T62" i="21"/>
  <c r="R62" i="21"/>
  <c r="Q62" i="21"/>
  <c r="O62" i="21"/>
  <c r="N62" i="21"/>
  <c r="H62" i="21"/>
  <c r="E62" i="21"/>
  <c r="U51" i="21"/>
  <c r="T51" i="21"/>
  <c r="R51" i="21"/>
  <c r="Q51" i="21"/>
  <c r="O51" i="21"/>
  <c r="N51" i="21"/>
  <c r="C51" i="21"/>
  <c r="U46" i="21"/>
  <c r="T46" i="21"/>
  <c r="R46" i="21"/>
  <c r="Q46" i="21"/>
  <c r="O46" i="21"/>
  <c r="N46" i="21"/>
  <c r="U39" i="21"/>
  <c r="T39" i="21"/>
  <c r="R39" i="21"/>
  <c r="Q39" i="21"/>
  <c r="O39" i="21"/>
  <c r="N39" i="21"/>
  <c r="U21" i="21"/>
  <c r="T21" i="21"/>
  <c r="R21" i="21"/>
  <c r="Q21" i="21"/>
  <c r="O21" i="21"/>
  <c r="N21" i="21"/>
  <c r="U14" i="21"/>
  <c r="T14" i="21"/>
  <c r="R14" i="21"/>
  <c r="Q14" i="21"/>
  <c r="Q23" i="21" s="1"/>
  <c r="O14" i="21"/>
  <c r="N14" i="21"/>
  <c r="N23" i="21" s="1"/>
  <c r="X36" i="18"/>
  <c r="W36" i="18"/>
  <c r="V36" i="18"/>
  <c r="X35" i="18"/>
  <c r="V35" i="18"/>
  <c r="S35" i="18"/>
  <c r="P35" i="18"/>
  <c r="K35" i="18"/>
  <c r="M35" i="18" s="1"/>
  <c r="J35" i="18"/>
  <c r="G35" i="18"/>
  <c r="M50" i="18"/>
  <c r="U62" i="18"/>
  <c r="T62" i="18"/>
  <c r="R62" i="18"/>
  <c r="Q62" i="18"/>
  <c r="O62" i="18"/>
  <c r="N62" i="18"/>
  <c r="L62" i="18"/>
  <c r="K62" i="18"/>
  <c r="I62" i="18"/>
  <c r="H62" i="18"/>
  <c r="F62" i="18"/>
  <c r="E62" i="18"/>
  <c r="U51" i="18"/>
  <c r="T51" i="18"/>
  <c r="R51" i="18"/>
  <c r="Q51" i="18"/>
  <c r="O51" i="18"/>
  <c r="N51" i="18"/>
  <c r="L51" i="18"/>
  <c r="I51" i="18"/>
  <c r="H51" i="18"/>
  <c r="F51" i="18"/>
  <c r="E51" i="18"/>
  <c r="U46" i="18"/>
  <c r="T46" i="18"/>
  <c r="R46" i="18"/>
  <c r="Q46" i="18"/>
  <c r="O46" i="18"/>
  <c r="N46" i="18"/>
  <c r="L46" i="18"/>
  <c r="I46" i="18"/>
  <c r="H46" i="18"/>
  <c r="F46" i="18"/>
  <c r="E46" i="18"/>
  <c r="U39" i="18"/>
  <c r="T39" i="18"/>
  <c r="R39" i="18"/>
  <c r="Q39" i="18"/>
  <c r="O39" i="18"/>
  <c r="N39" i="18"/>
  <c r="L39" i="18"/>
  <c r="I39" i="18"/>
  <c r="H39" i="18"/>
  <c r="F39" i="18"/>
  <c r="E39" i="18"/>
  <c r="U21" i="18"/>
  <c r="T21" i="18"/>
  <c r="R21" i="18"/>
  <c r="Q21" i="18"/>
  <c r="O21" i="18"/>
  <c r="N21" i="18"/>
  <c r="L21" i="18"/>
  <c r="K21" i="18"/>
  <c r="I21" i="18"/>
  <c r="I23" i="18" s="1"/>
  <c r="H21" i="18"/>
  <c r="F21" i="18"/>
  <c r="U14" i="18"/>
  <c r="U23" i="18" s="1"/>
  <c r="T14" i="18"/>
  <c r="R14" i="18"/>
  <c r="Q14" i="18"/>
  <c r="Q23" i="18" s="1"/>
  <c r="O14" i="18"/>
  <c r="N14" i="18"/>
  <c r="L14" i="18"/>
  <c r="I14" i="18"/>
  <c r="H14" i="18"/>
  <c r="F14" i="18"/>
  <c r="F23" i="18" s="1"/>
  <c r="AA36" i="20"/>
  <c r="AA37" i="20"/>
  <c r="AA38" i="20"/>
  <c r="AA40" i="20"/>
  <c r="AA41" i="20"/>
  <c r="AA42" i="20"/>
  <c r="AA43" i="20"/>
  <c r="AA44" i="20"/>
  <c r="AA45" i="20"/>
  <c r="AA47" i="20"/>
  <c r="AA48" i="20"/>
  <c r="AA49" i="20"/>
  <c r="AA50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2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6" i="20"/>
  <c r="X36" i="20"/>
  <c r="W36" i="20"/>
  <c r="V36" i="20"/>
  <c r="X35" i="20"/>
  <c r="V35" i="20"/>
  <c r="S35" i="20"/>
  <c r="P35" i="20"/>
  <c r="M35" i="20"/>
  <c r="K35" i="20"/>
  <c r="W35" i="20" s="1"/>
  <c r="J35" i="20"/>
  <c r="G35" i="20"/>
  <c r="U62" i="20"/>
  <c r="T62" i="20"/>
  <c r="R62" i="20"/>
  <c r="Q62" i="20"/>
  <c r="O62" i="20"/>
  <c r="N62" i="20"/>
  <c r="L62" i="20"/>
  <c r="K62" i="20"/>
  <c r="I62" i="20"/>
  <c r="H62" i="20"/>
  <c r="F62" i="20"/>
  <c r="E62" i="20"/>
  <c r="U51" i="20"/>
  <c r="T51" i="20"/>
  <c r="R51" i="20"/>
  <c r="Q51" i="20"/>
  <c r="O51" i="20"/>
  <c r="N51" i="20"/>
  <c r="L51" i="20"/>
  <c r="I51" i="20"/>
  <c r="H51" i="20"/>
  <c r="AA51" i="20" s="1"/>
  <c r="F51" i="20"/>
  <c r="U46" i="20"/>
  <c r="T46" i="20"/>
  <c r="R46" i="20"/>
  <c r="Q46" i="20"/>
  <c r="O46" i="20"/>
  <c r="N46" i="20"/>
  <c r="L46" i="20"/>
  <c r="I46" i="20"/>
  <c r="H46" i="20"/>
  <c r="AA46" i="20" s="1"/>
  <c r="F46" i="20"/>
  <c r="E46" i="20"/>
  <c r="U39" i="20"/>
  <c r="T39" i="20"/>
  <c r="R39" i="20"/>
  <c r="Q39" i="20"/>
  <c r="O39" i="20"/>
  <c r="N39" i="20"/>
  <c r="L39" i="20"/>
  <c r="I39" i="20"/>
  <c r="H39" i="20"/>
  <c r="AA39" i="20" s="1"/>
  <c r="F39" i="20"/>
  <c r="E39" i="20"/>
  <c r="U21" i="20"/>
  <c r="T21" i="20"/>
  <c r="R21" i="20"/>
  <c r="Q21" i="20"/>
  <c r="O21" i="20"/>
  <c r="N21" i="20"/>
  <c r="L21" i="20"/>
  <c r="K21" i="20"/>
  <c r="I21" i="20"/>
  <c r="I23" i="20" s="1"/>
  <c r="H21" i="20"/>
  <c r="F21" i="20"/>
  <c r="U14" i="20"/>
  <c r="T14" i="20"/>
  <c r="R14" i="20"/>
  <c r="Q14" i="20"/>
  <c r="O14" i="20"/>
  <c r="N14" i="20"/>
  <c r="L14" i="20"/>
  <c r="I14" i="20"/>
  <c r="H14" i="20"/>
  <c r="F14" i="20"/>
  <c r="F23" i="20" l="1"/>
  <c r="X35" i="21"/>
  <c r="C23" i="20"/>
  <c r="G35" i="21"/>
  <c r="H23" i="18"/>
  <c r="H52" i="18" s="1"/>
  <c r="H57" i="18" s="1"/>
  <c r="H63" i="18" s="1"/>
  <c r="H23" i="20"/>
  <c r="AA23" i="20" s="1"/>
  <c r="Y35" i="20"/>
  <c r="Y36" i="21"/>
  <c r="C23" i="18"/>
  <c r="AA21" i="20"/>
  <c r="O23" i="20"/>
  <c r="O52" i="20" s="1"/>
  <c r="O57" i="20" s="1"/>
  <c r="O63" i="20" s="1"/>
  <c r="L23" i="20"/>
  <c r="U23" i="20"/>
  <c r="L23" i="18"/>
  <c r="Y36" i="18"/>
  <c r="T23" i="21"/>
  <c r="T52" i="21" s="1"/>
  <c r="R23" i="20"/>
  <c r="R52" i="20" s="1"/>
  <c r="R57" i="20" s="1"/>
  <c r="R63" i="20" s="1"/>
  <c r="T23" i="20"/>
  <c r="T52" i="20" s="1"/>
  <c r="T57" i="20" s="1"/>
  <c r="T63" i="20" s="1"/>
  <c r="Q23" i="20"/>
  <c r="Q52" i="20" s="1"/>
  <c r="Q57" i="20" s="1"/>
  <c r="Q63" i="20" s="1"/>
  <c r="Y36" i="20"/>
  <c r="F52" i="18"/>
  <c r="F57" i="18" s="1"/>
  <c r="F63" i="18" s="1"/>
  <c r="C23" i="21"/>
  <c r="N52" i="21"/>
  <c r="Q52" i="21"/>
  <c r="L52" i="18"/>
  <c r="L57" i="18" s="1"/>
  <c r="L63" i="18" s="1"/>
  <c r="W35" i="18"/>
  <c r="Y35" i="18" s="1"/>
  <c r="I52" i="18"/>
  <c r="I57" i="18" s="1"/>
  <c r="I63" i="18" s="1"/>
  <c r="T23" i="18"/>
  <c r="T52" i="18" s="1"/>
  <c r="T57" i="18" s="1"/>
  <c r="T63" i="18" s="1"/>
  <c r="R23" i="18"/>
  <c r="R52" i="18" s="1"/>
  <c r="R57" i="18" s="1"/>
  <c r="R63" i="18" s="1"/>
  <c r="O23" i="18"/>
  <c r="O52" i="18" s="1"/>
  <c r="O57" i="18" s="1"/>
  <c r="O63" i="18" s="1"/>
  <c r="N23" i="18"/>
  <c r="N52" i="18" s="1"/>
  <c r="N57" i="18" s="1"/>
  <c r="N63" i="18" s="1"/>
  <c r="U52" i="18"/>
  <c r="U57" i="18" s="1"/>
  <c r="U63" i="18" s="1"/>
  <c r="Q52" i="18"/>
  <c r="Q57" i="18" s="1"/>
  <c r="Q63" i="18" s="1"/>
  <c r="I52" i="20"/>
  <c r="I57" i="20" s="1"/>
  <c r="I63" i="20" s="1"/>
  <c r="F52" i="20"/>
  <c r="F57" i="20" s="1"/>
  <c r="F63" i="20" s="1"/>
  <c r="U52" i="20"/>
  <c r="U57" i="20" s="1"/>
  <c r="U63" i="20" s="1"/>
  <c r="N23" i="20"/>
  <c r="N52" i="20"/>
  <c r="N57" i="20" s="1"/>
  <c r="N63" i="20" s="1"/>
  <c r="L52" i="20"/>
  <c r="L57" i="20" s="1"/>
  <c r="L63" i="20" s="1"/>
  <c r="F62" i="19"/>
  <c r="H62" i="19"/>
  <c r="I62" i="19"/>
  <c r="K62" i="19"/>
  <c r="L62" i="19"/>
  <c r="N62" i="19"/>
  <c r="O62" i="19"/>
  <c r="Q62" i="19"/>
  <c r="R62" i="19"/>
  <c r="T62" i="19"/>
  <c r="U62" i="19"/>
  <c r="E62" i="19"/>
  <c r="U51" i="19"/>
  <c r="T51" i="19"/>
  <c r="R51" i="19"/>
  <c r="Q51" i="19"/>
  <c r="O51" i="19"/>
  <c r="N51" i="19"/>
  <c r="L51" i="19"/>
  <c r="I51" i="19"/>
  <c r="H51" i="19"/>
  <c r="F51" i="19"/>
  <c r="C51" i="19"/>
  <c r="U46" i="19"/>
  <c r="T46" i="19"/>
  <c r="R46" i="19"/>
  <c r="Q46" i="19"/>
  <c r="O46" i="19"/>
  <c r="N46" i="19"/>
  <c r="L46" i="19"/>
  <c r="I46" i="19"/>
  <c r="H46" i="19"/>
  <c r="F46" i="19"/>
  <c r="E46" i="19"/>
  <c r="C46" i="19"/>
  <c r="U39" i="19"/>
  <c r="T39" i="19"/>
  <c r="R39" i="19"/>
  <c r="Q39" i="19"/>
  <c r="O39" i="19"/>
  <c r="N39" i="19"/>
  <c r="L39" i="19"/>
  <c r="I39" i="19"/>
  <c r="H39" i="19"/>
  <c r="F39" i="19"/>
  <c r="E39" i="19"/>
  <c r="T23" i="19"/>
  <c r="U21" i="19"/>
  <c r="T21" i="19"/>
  <c r="R21" i="19"/>
  <c r="Q21" i="19"/>
  <c r="O21" i="19"/>
  <c r="N21" i="19"/>
  <c r="N23" i="19" s="1"/>
  <c r="N52" i="19" s="1"/>
  <c r="N57" i="19" s="1"/>
  <c r="N63" i="19" s="1"/>
  <c r="L21" i="19"/>
  <c r="K21" i="19"/>
  <c r="I21" i="19"/>
  <c r="H21" i="19"/>
  <c r="H23" i="19" s="1"/>
  <c r="H52" i="19" s="1"/>
  <c r="H57" i="19" s="1"/>
  <c r="H63" i="19" s="1"/>
  <c r="F21" i="19"/>
  <c r="F23" i="19" s="1"/>
  <c r="F52" i="19" s="1"/>
  <c r="F57" i="19" s="1"/>
  <c r="F63" i="19" s="1"/>
  <c r="C21" i="19"/>
  <c r="U14" i="19"/>
  <c r="U23" i="19" s="1"/>
  <c r="T14" i="19"/>
  <c r="R14" i="19"/>
  <c r="Q14" i="19"/>
  <c r="O14" i="19"/>
  <c r="N14" i="19"/>
  <c r="L14" i="19"/>
  <c r="I14" i="19"/>
  <c r="H14" i="19"/>
  <c r="F14" i="19"/>
  <c r="C14" i="19"/>
  <c r="G35" i="19"/>
  <c r="O23" i="19" l="1"/>
  <c r="O52" i="19" s="1"/>
  <c r="O57" i="19" s="1"/>
  <c r="O63" i="19" s="1"/>
  <c r="C23" i="19"/>
  <c r="L23" i="19"/>
  <c r="L52" i="19" s="1"/>
  <c r="L57" i="19" s="1"/>
  <c r="L63" i="19" s="1"/>
  <c r="I23" i="19"/>
  <c r="I52" i="19" s="1"/>
  <c r="I57" i="19" s="1"/>
  <c r="I63" i="19" s="1"/>
  <c r="U52" i="19"/>
  <c r="U57" i="19" s="1"/>
  <c r="U63" i="19" s="1"/>
  <c r="R23" i="19"/>
  <c r="R52" i="19" s="1"/>
  <c r="R57" i="19" s="1"/>
  <c r="R63" i="19" s="1"/>
  <c r="Q23" i="19"/>
  <c r="Q52" i="19" s="1"/>
  <c r="Q57" i="19" s="1"/>
  <c r="Q63" i="19" s="1"/>
  <c r="T52" i="19"/>
  <c r="T57" i="19" s="1"/>
  <c r="T63" i="19" s="1"/>
  <c r="H52" i="20"/>
  <c r="AA52" i="20" s="1"/>
  <c r="H57" i="20" l="1"/>
  <c r="H63" i="20" s="1"/>
  <c r="D49" i="19" l="1"/>
  <c r="D48" i="19"/>
  <c r="D47" i="19"/>
  <c r="D45" i="19"/>
  <c r="D44" i="19"/>
  <c r="D43" i="19"/>
  <c r="D42" i="19"/>
  <c r="D41" i="19"/>
  <c r="D38" i="19"/>
  <c r="D37" i="19"/>
  <c r="D34" i="19"/>
  <c r="D33" i="19"/>
  <c r="D32" i="19"/>
  <c r="D31" i="19"/>
  <c r="D30" i="19"/>
  <c r="D29" i="19"/>
  <c r="D28" i="19"/>
  <c r="D27" i="19"/>
  <c r="D26" i="19"/>
  <c r="D25" i="19"/>
  <c r="D24" i="19"/>
  <c r="D22" i="19"/>
  <c r="D20" i="19"/>
  <c r="D19" i="19"/>
  <c r="D18" i="19"/>
  <c r="D17" i="19"/>
  <c r="D16" i="19"/>
  <c r="D15" i="19"/>
  <c r="D13" i="19"/>
  <c r="D12" i="19"/>
  <c r="D11" i="19"/>
  <c r="D10" i="19"/>
  <c r="D9" i="19"/>
  <c r="D8" i="19"/>
  <c r="D7" i="19"/>
  <c r="D6" i="19"/>
  <c r="D50" i="20"/>
  <c r="C50" i="20"/>
  <c r="C51" i="20" s="1"/>
  <c r="D49" i="20"/>
  <c r="D48" i="20"/>
  <c r="D47" i="20"/>
  <c r="D45" i="20"/>
  <c r="D44" i="20"/>
  <c r="D43" i="20"/>
  <c r="D42" i="20"/>
  <c r="D41" i="20"/>
  <c r="D40" i="20"/>
  <c r="D38" i="20"/>
  <c r="D37" i="20"/>
  <c r="D34" i="20"/>
  <c r="D33" i="20"/>
  <c r="D32" i="20"/>
  <c r="D31" i="20"/>
  <c r="D29" i="20"/>
  <c r="D28" i="20"/>
  <c r="D27" i="20"/>
  <c r="D26" i="20"/>
  <c r="D25" i="20"/>
  <c r="D24" i="20"/>
  <c r="D22" i="20"/>
  <c r="D20" i="20"/>
  <c r="D19" i="20"/>
  <c r="D18" i="20"/>
  <c r="D17" i="20"/>
  <c r="D16" i="20"/>
  <c r="D15" i="20"/>
  <c r="D13" i="20"/>
  <c r="D12" i="20"/>
  <c r="D11" i="20"/>
  <c r="D10" i="20"/>
  <c r="D9" i="20"/>
  <c r="D8" i="20"/>
  <c r="D7" i="20"/>
  <c r="D6" i="20"/>
  <c r="D7" i="18"/>
  <c r="D8" i="18"/>
  <c r="D9" i="18"/>
  <c r="D10" i="18"/>
  <c r="D11" i="18"/>
  <c r="D12" i="18"/>
  <c r="D13" i="18"/>
  <c r="D15" i="18"/>
  <c r="D16" i="18"/>
  <c r="D17" i="18"/>
  <c r="D18" i="18"/>
  <c r="D19" i="18"/>
  <c r="D20" i="18"/>
  <c r="D22" i="18"/>
  <c r="D24" i="18"/>
  <c r="D25" i="18"/>
  <c r="D26" i="18"/>
  <c r="D27" i="18"/>
  <c r="D28" i="18"/>
  <c r="D29" i="18"/>
  <c r="D30" i="18"/>
  <c r="D31" i="18"/>
  <c r="D32" i="18"/>
  <c r="D33" i="18"/>
  <c r="D34" i="18"/>
  <c r="D37" i="18"/>
  <c r="D38" i="18"/>
  <c r="D40" i="18"/>
  <c r="D41" i="18"/>
  <c r="D42" i="18"/>
  <c r="D43" i="18"/>
  <c r="D44" i="18"/>
  <c r="D45" i="18"/>
  <c r="D47" i="18"/>
  <c r="D48" i="18"/>
  <c r="D49" i="18"/>
  <c r="C50" i="18"/>
  <c r="C51" i="18" s="1"/>
  <c r="D50" i="18"/>
  <c r="D6" i="18"/>
  <c r="W74" i="21" l="1"/>
  <c r="X73" i="21"/>
  <c r="W73" i="21"/>
  <c r="X72" i="21"/>
  <c r="W72" i="21"/>
  <c r="X71" i="21"/>
  <c r="W71" i="21"/>
  <c r="X70" i="21"/>
  <c r="W70" i="21"/>
  <c r="X69" i="21"/>
  <c r="W69" i="21"/>
  <c r="X68" i="21"/>
  <c r="W68" i="21"/>
  <c r="X67" i="21"/>
  <c r="W67" i="21"/>
  <c r="Y69" i="21" l="1"/>
  <c r="Y72" i="21"/>
  <c r="Y70" i="21"/>
  <c r="Y73" i="21"/>
  <c r="Y67" i="21"/>
  <c r="Y71" i="21"/>
  <c r="X74" i="21"/>
  <c r="Y74" i="21" s="1"/>
  <c r="Y68" i="21"/>
  <c r="V61" i="21" l="1"/>
  <c r="V60" i="21"/>
  <c r="V59" i="21"/>
  <c r="V58" i="21"/>
  <c r="V56" i="21"/>
  <c r="V55" i="21"/>
  <c r="V54" i="21"/>
  <c r="V50" i="21"/>
  <c r="V49" i="21"/>
  <c r="V48" i="21"/>
  <c r="V47" i="21"/>
  <c r="V45" i="21"/>
  <c r="V44" i="21"/>
  <c r="V43" i="21"/>
  <c r="V42" i="21"/>
  <c r="V41" i="21"/>
  <c r="V38" i="21"/>
  <c r="V37" i="21"/>
  <c r="V34" i="21"/>
  <c r="V33" i="21"/>
  <c r="V32" i="21"/>
  <c r="V31" i="21"/>
  <c r="V30" i="21"/>
  <c r="V29" i="21"/>
  <c r="V28" i="21"/>
  <c r="V27" i="21"/>
  <c r="V26" i="21"/>
  <c r="V25" i="21"/>
  <c r="V24" i="21"/>
  <c r="V20" i="21"/>
  <c r="V19" i="21"/>
  <c r="V18" i="21"/>
  <c r="V17" i="21"/>
  <c r="V16" i="21"/>
  <c r="V15" i="21"/>
  <c r="V13" i="21"/>
  <c r="V12" i="21"/>
  <c r="V11" i="21"/>
  <c r="V10" i="21"/>
  <c r="V9" i="21"/>
  <c r="V8" i="21"/>
  <c r="V7" i="21"/>
  <c r="V6" i="21"/>
  <c r="S61" i="21"/>
  <c r="S60" i="21"/>
  <c r="S59" i="21"/>
  <c r="S58" i="21"/>
  <c r="S56" i="21"/>
  <c r="S55" i="21"/>
  <c r="S54" i="21"/>
  <c r="S50" i="21"/>
  <c r="S49" i="21"/>
  <c r="S48" i="21"/>
  <c r="S47" i="21"/>
  <c r="S45" i="21"/>
  <c r="S44" i="21"/>
  <c r="S43" i="21"/>
  <c r="S42" i="21"/>
  <c r="S41" i="21"/>
  <c r="S38" i="21"/>
  <c r="S37" i="21"/>
  <c r="S34" i="21"/>
  <c r="S33" i="21"/>
  <c r="S32" i="21"/>
  <c r="S31" i="21"/>
  <c r="S30" i="21"/>
  <c r="S29" i="21"/>
  <c r="S28" i="21"/>
  <c r="S27" i="21"/>
  <c r="S26" i="21"/>
  <c r="S25" i="21"/>
  <c r="S24" i="21"/>
  <c r="S20" i="21"/>
  <c r="S19" i="21"/>
  <c r="S18" i="21"/>
  <c r="S17" i="21"/>
  <c r="S16" i="21"/>
  <c r="S15" i="21"/>
  <c r="S13" i="21"/>
  <c r="S12" i="21"/>
  <c r="S11" i="21"/>
  <c r="S10" i="21"/>
  <c r="S9" i="21"/>
  <c r="S8" i="21"/>
  <c r="S7" i="21"/>
  <c r="S6" i="21"/>
  <c r="P61" i="21"/>
  <c r="P60" i="21"/>
  <c r="P59" i="21"/>
  <c r="P58" i="21"/>
  <c r="P56" i="21"/>
  <c r="P55" i="21"/>
  <c r="P54" i="21"/>
  <c r="P50" i="21"/>
  <c r="P49" i="21"/>
  <c r="P48" i="21"/>
  <c r="P47" i="21"/>
  <c r="P45" i="21"/>
  <c r="P44" i="21"/>
  <c r="P43" i="21"/>
  <c r="P42" i="21"/>
  <c r="P41" i="21"/>
  <c r="P38" i="21"/>
  <c r="P37" i="21"/>
  <c r="P34" i="21"/>
  <c r="P33" i="21"/>
  <c r="P32" i="21"/>
  <c r="P31" i="21"/>
  <c r="P30" i="21"/>
  <c r="P29" i="21"/>
  <c r="P28" i="21"/>
  <c r="P27" i="21"/>
  <c r="P26" i="21"/>
  <c r="P25" i="21"/>
  <c r="P24" i="21"/>
  <c r="P20" i="21"/>
  <c r="P19" i="21"/>
  <c r="P18" i="21"/>
  <c r="P17" i="21"/>
  <c r="P16" i="21"/>
  <c r="P15" i="21"/>
  <c r="P7" i="21"/>
  <c r="P8" i="21"/>
  <c r="P9" i="21"/>
  <c r="P10" i="21"/>
  <c r="P11" i="21"/>
  <c r="P12" i="21"/>
  <c r="P13" i="21"/>
  <c r="P6" i="21"/>
  <c r="V61" i="18"/>
  <c r="V60" i="18"/>
  <c r="V59" i="18"/>
  <c r="V58" i="18"/>
  <c r="V56" i="18"/>
  <c r="V55" i="18"/>
  <c r="V54" i="18"/>
  <c r="V53" i="18"/>
  <c r="V50" i="18"/>
  <c r="V49" i="18"/>
  <c r="V48" i="18"/>
  <c r="V47" i="18"/>
  <c r="V45" i="18"/>
  <c r="V44" i="18"/>
  <c r="V43" i="18"/>
  <c r="V42" i="18"/>
  <c r="V41" i="18"/>
  <c r="V40" i="18"/>
  <c r="V38" i="18"/>
  <c r="V37" i="18"/>
  <c r="V34" i="18"/>
  <c r="V33" i="18"/>
  <c r="V32" i="18"/>
  <c r="V31" i="18"/>
  <c r="V30" i="18"/>
  <c r="V29" i="18"/>
  <c r="V28" i="18"/>
  <c r="V27" i="18"/>
  <c r="V26" i="18"/>
  <c r="V25" i="18"/>
  <c r="V24" i="18"/>
  <c r="V22" i="18"/>
  <c r="V20" i="18"/>
  <c r="V19" i="18"/>
  <c r="V18" i="18"/>
  <c r="V17" i="18"/>
  <c r="V16" i="18"/>
  <c r="V15" i="18"/>
  <c r="V13" i="18"/>
  <c r="V12" i="18"/>
  <c r="V11" i="18"/>
  <c r="V10" i="18"/>
  <c r="V9" i="18"/>
  <c r="V8" i="18"/>
  <c r="V7" i="18"/>
  <c r="V6" i="18"/>
  <c r="S61" i="18"/>
  <c r="S60" i="18"/>
  <c r="S59" i="18"/>
  <c r="S58" i="18"/>
  <c r="S56" i="18"/>
  <c r="S55" i="18"/>
  <c r="S54" i="18"/>
  <c r="S53" i="18"/>
  <c r="S50" i="18"/>
  <c r="S49" i="18"/>
  <c r="S48" i="18"/>
  <c r="S47" i="18"/>
  <c r="S45" i="18"/>
  <c r="S44" i="18"/>
  <c r="S43" i="18"/>
  <c r="S42" i="18"/>
  <c r="S41" i="18"/>
  <c r="S40" i="18"/>
  <c r="S38" i="18"/>
  <c r="S37" i="18"/>
  <c r="S34" i="18"/>
  <c r="S33" i="18"/>
  <c r="S32" i="18"/>
  <c r="S31" i="18"/>
  <c r="S30" i="18"/>
  <c r="S29" i="18"/>
  <c r="S28" i="18"/>
  <c r="S27" i="18"/>
  <c r="S26" i="18"/>
  <c r="S25" i="18"/>
  <c r="S24" i="18"/>
  <c r="S22" i="18"/>
  <c r="S20" i="18"/>
  <c r="S19" i="18"/>
  <c r="S18" i="18"/>
  <c r="S17" i="18"/>
  <c r="S16" i="18"/>
  <c r="S15" i="18"/>
  <c r="S13" i="18"/>
  <c r="S12" i="18"/>
  <c r="S11" i="18"/>
  <c r="S10" i="18"/>
  <c r="S9" i="18"/>
  <c r="S8" i="18"/>
  <c r="S7" i="18"/>
  <c r="S6" i="18"/>
  <c r="P61" i="18"/>
  <c r="P60" i="18"/>
  <c r="P59" i="18"/>
  <c r="P58" i="18"/>
  <c r="P53" i="18"/>
  <c r="P56" i="18"/>
  <c r="P55" i="18"/>
  <c r="P54" i="18"/>
  <c r="P50" i="18"/>
  <c r="P49" i="18"/>
  <c r="P48" i="18"/>
  <c r="P47" i="18"/>
  <c r="P45" i="18"/>
  <c r="P44" i="18"/>
  <c r="P43" i="18"/>
  <c r="P42" i="18"/>
  <c r="P41" i="18"/>
  <c r="P38" i="18"/>
  <c r="P37" i="18"/>
  <c r="P34" i="18"/>
  <c r="P33" i="18"/>
  <c r="P32" i="18"/>
  <c r="P31" i="18"/>
  <c r="P30" i="18"/>
  <c r="P29" i="18"/>
  <c r="P28" i="18"/>
  <c r="P27" i="18"/>
  <c r="P26" i="18"/>
  <c r="P25" i="18"/>
  <c r="P24" i="18"/>
  <c r="P20" i="18"/>
  <c r="P19" i="18"/>
  <c r="P18" i="18"/>
  <c r="P17" i="18"/>
  <c r="P16" i="18"/>
  <c r="P15" i="18"/>
  <c r="P7" i="18"/>
  <c r="P8" i="18"/>
  <c r="P9" i="18"/>
  <c r="P10" i="18"/>
  <c r="P11" i="18"/>
  <c r="P12" i="18"/>
  <c r="P13" i="18"/>
  <c r="P6" i="18"/>
  <c r="V61" i="20"/>
  <c r="V60" i="20"/>
  <c r="V59" i="20"/>
  <c r="V58" i="20"/>
  <c r="V56" i="20"/>
  <c r="V55" i="20"/>
  <c r="V54" i="20"/>
  <c r="V53" i="20"/>
  <c r="V50" i="20"/>
  <c r="V49" i="20"/>
  <c r="V48" i="20"/>
  <c r="V47" i="20"/>
  <c r="V45" i="20"/>
  <c r="V44" i="20"/>
  <c r="V43" i="20"/>
  <c r="V42" i="20"/>
  <c r="V41" i="20"/>
  <c r="V40" i="20"/>
  <c r="V38" i="20"/>
  <c r="V37" i="20"/>
  <c r="V34" i="20"/>
  <c r="V33" i="20"/>
  <c r="V32" i="20"/>
  <c r="V31" i="20"/>
  <c r="V30" i="20"/>
  <c r="V29" i="20"/>
  <c r="V28" i="20"/>
  <c r="V27" i="20"/>
  <c r="V26" i="20"/>
  <c r="V25" i="20"/>
  <c r="V24" i="20"/>
  <c r="V22" i="20"/>
  <c r="V20" i="20"/>
  <c r="V19" i="20"/>
  <c r="V18" i="20"/>
  <c r="V17" i="20"/>
  <c r="V16" i="20"/>
  <c r="V15" i="20"/>
  <c r="V13" i="20"/>
  <c r="V12" i="20"/>
  <c r="V11" i="20"/>
  <c r="V10" i="20"/>
  <c r="V9" i="20"/>
  <c r="V8" i="20"/>
  <c r="V7" i="20"/>
  <c r="V6" i="20"/>
  <c r="S61" i="20"/>
  <c r="S60" i="20"/>
  <c r="S59" i="20"/>
  <c r="S58" i="20"/>
  <c r="S56" i="20"/>
  <c r="S55" i="20"/>
  <c r="S54" i="20"/>
  <c r="S53" i="20"/>
  <c r="S50" i="20"/>
  <c r="S49" i="20"/>
  <c r="S48" i="20"/>
  <c r="S47" i="20"/>
  <c r="S45" i="20"/>
  <c r="S44" i="20"/>
  <c r="S43" i="20"/>
  <c r="S42" i="20"/>
  <c r="S41" i="20"/>
  <c r="S40" i="20"/>
  <c r="S38" i="20"/>
  <c r="S37" i="20"/>
  <c r="S34" i="20"/>
  <c r="S33" i="20"/>
  <c r="S32" i="20"/>
  <c r="S31" i="20"/>
  <c r="S30" i="20"/>
  <c r="S29" i="20"/>
  <c r="S28" i="20"/>
  <c r="S27" i="20"/>
  <c r="S26" i="20"/>
  <c r="S25" i="20"/>
  <c r="S24" i="20"/>
  <c r="S22" i="20"/>
  <c r="S20" i="20"/>
  <c r="S19" i="20"/>
  <c r="S18" i="20"/>
  <c r="S17" i="20"/>
  <c r="S16" i="20"/>
  <c r="S15" i="20"/>
  <c r="S13" i="20"/>
  <c r="S12" i="20"/>
  <c r="S11" i="20"/>
  <c r="S10" i="20"/>
  <c r="S9" i="20"/>
  <c r="S8" i="20"/>
  <c r="S7" i="20"/>
  <c r="S6" i="20"/>
  <c r="P61" i="20"/>
  <c r="P60" i="20"/>
  <c r="P59" i="20"/>
  <c r="P58" i="20"/>
  <c r="P53" i="20"/>
  <c r="P56" i="20"/>
  <c r="P55" i="20"/>
  <c r="P54" i="20"/>
  <c r="P50" i="20"/>
  <c r="P49" i="20"/>
  <c r="P48" i="20"/>
  <c r="P47" i="20"/>
  <c r="P45" i="20"/>
  <c r="P44" i="20"/>
  <c r="P43" i="20"/>
  <c r="P42" i="20"/>
  <c r="P41" i="20"/>
  <c r="P38" i="20"/>
  <c r="P37" i="20"/>
  <c r="P34" i="20"/>
  <c r="P33" i="20"/>
  <c r="P32" i="20"/>
  <c r="P31" i="20"/>
  <c r="P30" i="20"/>
  <c r="P29" i="20"/>
  <c r="P28" i="20"/>
  <c r="P27" i="20"/>
  <c r="P26" i="20"/>
  <c r="P25" i="20"/>
  <c r="P24" i="20"/>
  <c r="P20" i="20"/>
  <c r="P19" i="20"/>
  <c r="P18" i="20"/>
  <c r="P17" i="20"/>
  <c r="P16" i="20"/>
  <c r="P15" i="20"/>
  <c r="P7" i="20"/>
  <c r="P8" i="20"/>
  <c r="P9" i="20"/>
  <c r="P10" i="20"/>
  <c r="P11" i="20"/>
  <c r="P12" i="20"/>
  <c r="P13" i="20"/>
  <c r="P6" i="20"/>
  <c r="V61" i="19"/>
  <c r="S61" i="19"/>
  <c r="P61" i="19"/>
  <c r="V60" i="19"/>
  <c r="S60" i="19"/>
  <c r="P60" i="19"/>
  <c r="V59" i="19"/>
  <c r="S59" i="19"/>
  <c r="P59" i="19"/>
  <c r="V58" i="19"/>
  <c r="S58" i="19"/>
  <c r="P58" i="19"/>
  <c r="P62" i="19" s="1"/>
  <c r="V53" i="19"/>
  <c r="S53" i="19"/>
  <c r="P53" i="19"/>
  <c r="V56" i="19"/>
  <c r="S56" i="19"/>
  <c r="P56" i="19"/>
  <c r="V55" i="19"/>
  <c r="S55" i="19"/>
  <c r="P55" i="19"/>
  <c r="V54" i="19"/>
  <c r="S54" i="19"/>
  <c r="P54" i="19"/>
  <c r="V49" i="19"/>
  <c r="S49" i="19"/>
  <c r="P49" i="19"/>
  <c r="V48" i="19"/>
  <c r="S48" i="19"/>
  <c r="P48" i="19"/>
  <c r="V47" i="19"/>
  <c r="S47" i="19"/>
  <c r="P47" i="19"/>
  <c r="V45" i="19"/>
  <c r="S45" i="19"/>
  <c r="P45" i="19"/>
  <c r="V44" i="19"/>
  <c r="S44" i="19"/>
  <c r="P44" i="19"/>
  <c r="V43" i="19"/>
  <c r="S43" i="19"/>
  <c r="P43" i="19"/>
  <c r="V42" i="19"/>
  <c r="S42" i="19"/>
  <c r="P42" i="19"/>
  <c r="V41" i="19"/>
  <c r="V46" i="19" s="1"/>
  <c r="S41" i="19"/>
  <c r="P41" i="19"/>
  <c r="P46" i="19" s="1"/>
  <c r="V38" i="19"/>
  <c r="S38" i="19"/>
  <c r="P38" i="19"/>
  <c r="V37" i="19"/>
  <c r="S37" i="19"/>
  <c r="P37" i="19"/>
  <c r="V36" i="19"/>
  <c r="V35" i="19"/>
  <c r="S35" i="19"/>
  <c r="P35" i="19"/>
  <c r="V34" i="19"/>
  <c r="S34" i="19"/>
  <c r="P34" i="19"/>
  <c r="V33" i="19"/>
  <c r="S33" i="19"/>
  <c r="P33" i="19"/>
  <c r="V32" i="19"/>
  <c r="S32" i="19"/>
  <c r="P32" i="19"/>
  <c r="V31" i="19"/>
  <c r="S31" i="19"/>
  <c r="P31" i="19"/>
  <c r="V30" i="19"/>
  <c r="S30" i="19"/>
  <c r="P30" i="19"/>
  <c r="V29" i="19"/>
  <c r="S29" i="19"/>
  <c r="P29" i="19"/>
  <c r="V28" i="19"/>
  <c r="S28" i="19"/>
  <c r="P28" i="19"/>
  <c r="V27" i="19"/>
  <c r="S27" i="19"/>
  <c r="P27" i="19"/>
  <c r="V26" i="19"/>
  <c r="S26" i="19"/>
  <c r="P26" i="19"/>
  <c r="V25" i="19"/>
  <c r="S25" i="19"/>
  <c r="P25" i="19"/>
  <c r="V24" i="19"/>
  <c r="S24" i="19"/>
  <c r="P24" i="19"/>
  <c r="V20" i="19"/>
  <c r="S20" i="19"/>
  <c r="P20" i="19"/>
  <c r="V19" i="19"/>
  <c r="S19" i="19"/>
  <c r="P19" i="19"/>
  <c r="V18" i="19"/>
  <c r="S18" i="19"/>
  <c r="P18" i="19"/>
  <c r="V17" i="19"/>
  <c r="S17" i="19"/>
  <c r="P17" i="19"/>
  <c r="V16" i="19"/>
  <c r="S16" i="19"/>
  <c r="P16" i="19"/>
  <c r="V15" i="19"/>
  <c r="S15" i="19"/>
  <c r="S21" i="19" s="1"/>
  <c r="P15" i="19"/>
  <c r="P7" i="19"/>
  <c r="S7" i="19"/>
  <c r="V7" i="19"/>
  <c r="P8" i="19"/>
  <c r="S8" i="19"/>
  <c r="V8" i="19"/>
  <c r="P9" i="19"/>
  <c r="S9" i="19"/>
  <c r="V9" i="19"/>
  <c r="P10" i="19"/>
  <c r="S10" i="19"/>
  <c r="V10" i="19"/>
  <c r="P11" i="19"/>
  <c r="S11" i="19"/>
  <c r="V11" i="19"/>
  <c r="P12" i="19"/>
  <c r="S12" i="19"/>
  <c r="V12" i="19"/>
  <c r="P13" i="19"/>
  <c r="S13" i="19"/>
  <c r="V13" i="19"/>
  <c r="V6" i="19"/>
  <c r="S6" i="19"/>
  <c r="S14" i="19" s="1"/>
  <c r="P6" i="19"/>
  <c r="S51" i="19" l="1"/>
  <c r="P62" i="20"/>
  <c r="P14" i="18"/>
  <c r="V62" i="19"/>
  <c r="S21" i="20"/>
  <c r="S23" i="20" s="1"/>
  <c r="S52" i="20" s="1"/>
  <c r="S57" i="20" s="1"/>
  <c r="V51" i="20"/>
  <c r="V62" i="18"/>
  <c r="P21" i="21"/>
  <c r="P39" i="21"/>
  <c r="P51" i="21"/>
  <c r="V14" i="21"/>
  <c r="V14" i="19"/>
  <c r="P51" i="19"/>
  <c r="P46" i="20"/>
  <c r="P21" i="20"/>
  <c r="P39" i="20"/>
  <c r="S14" i="20"/>
  <c r="S62" i="20"/>
  <c r="P62" i="18"/>
  <c r="S21" i="18"/>
  <c r="V21" i="19"/>
  <c r="V39" i="19"/>
  <c r="S46" i="19"/>
  <c r="S62" i="19"/>
  <c r="S46" i="20"/>
  <c r="P46" i="18"/>
  <c r="V62" i="21"/>
  <c r="S39" i="19"/>
  <c r="P14" i="20"/>
  <c r="S51" i="20"/>
  <c r="V14" i="20"/>
  <c r="V62" i="20"/>
  <c r="S62" i="18"/>
  <c r="V21" i="18"/>
  <c r="S62" i="21"/>
  <c r="P14" i="19"/>
  <c r="P21" i="19"/>
  <c r="P39" i="19"/>
  <c r="V51" i="19"/>
  <c r="S39" i="20"/>
  <c r="V46" i="20"/>
  <c r="P46" i="21"/>
  <c r="P62" i="21"/>
  <c r="V51" i="21"/>
  <c r="S51" i="21"/>
  <c r="V46" i="21"/>
  <c r="S46" i="21"/>
  <c r="V39" i="21"/>
  <c r="S39" i="21"/>
  <c r="V21" i="21"/>
  <c r="S21" i="21"/>
  <c r="S14" i="21"/>
  <c r="P14" i="21"/>
  <c r="V51" i="18"/>
  <c r="S51" i="18"/>
  <c r="P51" i="18"/>
  <c r="V46" i="18"/>
  <c r="S46" i="18"/>
  <c r="V39" i="18"/>
  <c r="S39" i="18"/>
  <c r="P39" i="18"/>
  <c r="P21" i="18"/>
  <c r="V14" i="18"/>
  <c r="V23" i="18" s="1"/>
  <c r="S14" i="18"/>
  <c r="P51" i="20"/>
  <c r="V39" i="20"/>
  <c r="V21" i="20"/>
  <c r="V23" i="20" s="1"/>
  <c r="S23" i="18" l="1"/>
  <c r="S52" i="18" s="1"/>
  <c r="S57" i="18" s="1"/>
  <c r="S63" i="18" s="1"/>
  <c r="S63" i="20"/>
  <c r="V52" i="18"/>
  <c r="V57" i="18" s="1"/>
  <c r="V63" i="18" s="1"/>
  <c r="V52" i="20"/>
  <c r="V57" i="20" s="1"/>
  <c r="V63" i="20" s="1"/>
  <c r="U53" i="21" l="1"/>
  <c r="U40" i="21"/>
  <c r="V40" i="21" s="1"/>
  <c r="U22" i="21"/>
  <c r="R53" i="21"/>
  <c r="R40" i="21"/>
  <c r="S40" i="21" s="1"/>
  <c r="R22" i="21"/>
  <c r="O53" i="21"/>
  <c r="O40" i="21"/>
  <c r="O22" i="21"/>
  <c r="O23" i="21" s="1"/>
  <c r="L61" i="21"/>
  <c r="L60" i="21"/>
  <c r="L59" i="21"/>
  <c r="L58" i="21"/>
  <c r="L56" i="21"/>
  <c r="L55" i="21"/>
  <c r="L54" i="21"/>
  <c r="L53" i="21"/>
  <c r="L50" i="21"/>
  <c r="L49" i="21"/>
  <c r="L48" i="21"/>
  <c r="L47" i="21"/>
  <c r="L45" i="21"/>
  <c r="L44" i="21"/>
  <c r="L43" i="21"/>
  <c r="L42" i="21"/>
  <c r="L41" i="21"/>
  <c r="L38" i="21"/>
  <c r="L37" i="21"/>
  <c r="L34" i="21"/>
  <c r="L33" i="21"/>
  <c r="L32" i="21"/>
  <c r="L31" i="21"/>
  <c r="L30" i="21"/>
  <c r="L29" i="21"/>
  <c r="L28" i="21"/>
  <c r="L27" i="21"/>
  <c r="L26" i="21"/>
  <c r="L25" i="21"/>
  <c r="L24" i="21"/>
  <c r="L22" i="21"/>
  <c r="L20" i="21"/>
  <c r="L19" i="21"/>
  <c r="L18" i="21"/>
  <c r="L17" i="21"/>
  <c r="L16" i="21"/>
  <c r="L15" i="21"/>
  <c r="L13" i="21"/>
  <c r="L12" i="21"/>
  <c r="L11" i="21"/>
  <c r="L10" i="21"/>
  <c r="L9" i="21"/>
  <c r="L8" i="21"/>
  <c r="L7" i="21"/>
  <c r="L6" i="21"/>
  <c r="I61" i="21"/>
  <c r="I60" i="21"/>
  <c r="I59" i="21"/>
  <c r="I58" i="21"/>
  <c r="I56" i="21"/>
  <c r="I55" i="21"/>
  <c r="I54" i="21"/>
  <c r="I53" i="21"/>
  <c r="I50" i="21"/>
  <c r="I49" i="21"/>
  <c r="I48" i="21"/>
  <c r="I47" i="21"/>
  <c r="I45" i="21"/>
  <c r="I44" i="21"/>
  <c r="I43" i="21"/>
  <c r="I42" i="21"/>
  <c r="I41" i="21"/>
  <c r="I38" i="21"/>
  <c r="I37" i="21"/>
  <c r="I34" i="21"/>
  <c r="I33" i="21"/>
  <c r="I32" i="21"/>
  <c r="I31" i="21"/>
  <c r="I30" i="21"/>
  <c r="I29" i="21"/>
  <c r="I28" i="21"/>
  <c r="I27" i="21"/>
  <c r="I26" i="21"/>
  <c r="I25" i="21"/>
  <c r="I24" i="21"/>
  <c r="I22" i="21"/>
  <c r="I20" i="21"/>
  <c r="I19" i="21"/>
  <c r="I18" i="21"/>
  <c r="I17" i="21"/>
  <c r="I16" i="21"/>
  <c r="I15" i="21"/>
  <c r="I13" i="21"/>
  <c r="I12" i="21"/>
  <c r="I11" i="21"/>
  <c r="I10" i="21"/>
  <c r="I9" i="21"/>
  <c r="I8" i="21"/>
  <c r="I7" i="21"/>
  <c r="I6" i="21"/>
  <c r="F61" i="21"/>
  <c r="F60" i="21"/>
  <c r="F59" i="21"/>
  <c r="F58" i="21"/>
  <c r="F54" i="21"/>
  <c r="F55" i="21"/>
  <c r="F56" i="21"/>
  <c r="K53" i="21"/>
  <c r="H53" i="21"/>
  <c r="F53" i="21"/>
  <c r="E53" i="21"/>
  <c r="K50" i="21"/>
  <c r="H50" i="21"/>
  <c r="F50" i="21"/>
  <c r="E50" i="21"/>
  <c r="F49" i="21"/>
  <c r="F48" i="21"/>
  <c r="F47" i="21"/>
  <c r="F45" i="21"/>
  <c r="F44" i="21"/>
  <c r="F43" i="21"/>
  <c r="F42" i="21"/>
  <c r="F41" i="21"/>
  <c r="F40" i="21"/>
  <c r="F25" i="21"/>
  <c r="F26" i="21"/>
  <c r="F27" i="21"/>
  <c r="F28" i="21"/>
  <c r="F29" i="21"/>
  <c r="F30" i="21"/>
  <c r="F31" i="21"/>
  <c r="F32" i="21"/>
  <c r="F33" i="21"/>
  <c r="F34" i="21"/>
  <c r="F37" i="21"/>
  <c r="F38" i="21"/>
  <c r="F24" i="21"/>
  <c r="F22" i="21"/>
  <c r="F16" i="21"/>
  <c r="F17" i="21"/>
  <c r="F18" i="21"/>
  <c r="F19" i="21"/>
  <c r="F20" i="21"/>
  <c r="F15" i="21"/>
  <c r="F7" i="21"/>
  <c r="F8" i="21"/>
  <c r="F9" i="21"/>
  <c r="F10" i="21"/>
  <c r="F11" i="21"/>
  <c r="F12" i="21"/>
  <c r="F13" i="21"/>
  <c r="F6" i="21"/>
  <c r="X50" i="18"/>
  <c r="W50" i="18"/>
  <c r="G50" i="18"/>
  <c r="W50" i="20"/>
  <c r="X50" i="20"/>
  <c r="G50" i="20"/>
  <c r="K56" i="18"/>
  <c r="K56" i="20"/>
  <c r="K56" i="19"/>
  <c r="K27" i="19"/>
  <c r="K26" i="19"/>
  <c r="K28" i="20"/>
  <c r="K31" i="20"/>
  <c r="K29" i="20"/>
  <c r="K27" i="20"/>
  <c r="X64" i="21"/>
  <c r="W64" i="21"/>
  <c r="K55" i="20"/>
  <c r="K48" i="20"/>
  <c r="K47" i="20"/>
  <c r="K44" i="20"/>
  <c r="K43" i="20"/>
  <c r="K45" i="20"/>
  <c r="K45" i="21" s="1"/>
  <c r="K42" i="20"/>
  <c r="K40" i="20"/>
  <c r="K38" i="20"/>
  <c r="K37" i="20"/>
  <c r="K34" i="20"/>
  <c r="K33" i="20"/>
  <c r="K32" i="20"/>
  <c r="K26" i="20"/>
  <c r="K25" i="20"/>
  <c r="K30" i="21"/>
  <c r="K24" i="20"/>
  <c r="K13" i="20"/>
  <c r="K12" i="20"/>
  <c r="K9" i="20"/>
  <c r="K59" i="21"/>
  <c r="K60" i="21"/>
  <c r="K61" i="21"/>
  <c r="K58" i="21"/>
  <c r="K54" i="21"/>
  <c r="K41" i="21"/>
  <c r="K16" i="21"/>
  <c r="K17" i="21"/>
  <c r="K18" i="21"/>
  <c r="K19" i="21"/>
  <c r="K20" i="21"/>
  <c r="K15" i="21"/>
  <c r="H19" i="21"/>
  <c r="H20" i="21"/>
  <c r="H55" i="21"/>
  <c r="H56" i="21"/>
  <c r="H54" i="21"/>
  <c r="H49" i="21"/>
  <c r="H48" i="21"/>
  <c r="H47" i="21"/>
  <c r="H42" i="21"/>
  <c r="H43" i="21"/>
  <c r="H44" i="21"/>
  <c r="H45" i="21"/>
  <c r="H41" i="21"/>
  <c r="H25" i="21"/>
  <c r="H26" i="21"/>
  <c r="H27" i="21"/>
  <c r="H28" i="21"/>
  <c r="H29" i="21"/>
  <c r="H30" i="21"/>
  <c r="H31" i="21"/>
  <c r="H32" i="21"/>
  <c r="H33" i="21"/>
  <c r="H34" i="21"/>
  <c r="H37" i="21"/>
  <c r="H38" i="21"/>
  <c r="H24" i="21"/>
  <c r="H22" i="21"/>
  <c r="H16" i="21"/>
  <c r="H17" i="21"/>
  <c r="H18" i="21"/>
  <c r="H15" i="21"/>
  <c r="H7" i="21"/>
  <c r="H8" i="21"/>
  <c r="H9" i="21"/>
  <c r="H10" i="21"/>
  <c r="H11" i="21"/>
  <c r="H12" i="21"/>
  <c r="H13" i="21"/>
  <c r="H6" i="21"/>
  <c r="E55" i="21"/>
  <c r="E56" i="21"/>
  <c r="E54" i="21"/>
  <c r="E48" i="21"/>
  <c r="E47" i="21"/>
  <c r="E42" i="21"/>
  <c r="E43" i="21"/>
  <c r="E44" i="21"/>
  <c r="E45" i="21"/>
  <c r="E41" i="21"/>
  <c r="E40" i="21"/>
  <c r="E25" i="21"/>
  <c r="E26" i="21"/>
  <c r="E27" i="21"/>
  <c r="E28" i="21"/>
  <c r="E29" i="21"/>
  <c r="E30" i="21"/>
  <c r="E31" i="21"/>
  <c r="E32" i="21"/>
  <c r="E33" i="21"/>
  <c r="E34" i="21"/>
  <c r="E37" i="21"/>
  <c r="E38" i="21"/>
  <c r="E24" i="21"/>
  <c r="E16" i="21"/>
  <c r="E17" i="21"/>
  <c r="E19" i="21"/>
  <c r="E20" i="21"/>
  <c r="E15" i="21"/>
  <c r="E9" i="21"/>
  <c r="E12" i="21"/>
  <c r="E13" i="21"/>
  <c r="K55" i="18"/>
  <c r="K49" i="18"/>
  <c r="M49" i="18" s="1"/>
  <c r="K48" i="18"/>
  <c r="M48" i="18" s="1"/>
  <c r="K47" i="18"/>
  <c r="K44" i="18"/>
  <c r="K43" i="18"/>
  <c r="K42" i="18"/>
  <c r="K40" i="18"/>
  <c r="K34" i="18"/>
  <c r="K37" i="18"/>
  <c r="K38" i="18"/>
  <c r="K33" i="18"/>
  <c r="K32" i="18"/>
  <c r="K31" i="18"/>
  <c r="K29" i="18"/>
  <c r="K28" i="18"/>
  <c r="K27" i="18"/>
  <c r="K26" i="18"/>
  <c r="K25" i="18"/>
  <c r="K24" i="18"/>
  <c r="K22" i="18"/>
  <c r="K13" i="18"/>
  <c r="K12" i="18"/>
  <c r="K9" i="18"/>
  <c r="K55" i="19"/>
  <c r="K48" i="19"/>
  <c r="K47" i="19"/>
  <c r="K44" i="19"/>
  <c r="K43" i="19"/>
  <c r="K42" i="19"/>
  <c r="K40" i="19"/>
  <c r="K38" i="19"/>
  <c r="K37" i="19"/>
  <c r="K35" i="19"/>
  <c r="K34" i="19"/>
  <c r="K33" i="19"/>
  <c r="K32" i="19"/>
  <c r="K31" i="19"/>
  <c r="K29" i="19"/>
  <c r="K28" i="19"/>
  <c r="K25" i="19"/>
  <c r="K24" i="19"/>
  <c r="K13" i="19"/>
  <c r="K12" i="19"/>
  <c r="K9" i="19"/>
  <c r="L21" i="21" l="1"/>
  <c r="K40" i="21"/>
  <c r="K55" i="21"/>
  <c r="K46" i="19"/>
  <c r="K46" i="18"/>
  <c r="K39" i="20"/>
  <c r="F14" i="21"/>
  <c r="I62" i="21"/>
  <c r="K35" i="21"/>
  <c r="E39" i="21"/>
  <c r="F51" i="21"/>
  <c r="K13" i="21"/>
  <c r="K51" i="18"/>
  <c r="H51" i="21"/>
  <c r="I14" i="21"/>
  <c r="I46" i="21"/>
  <c r="L62" i="21"/>
  <c r="H46" i="21"/>
  <c r="S22" i="21"/>
  <c r="S23" i="21" s="1"/>
  <c r="S52" i="21" s="1"/>
  <c r="R23" i="21"/>
  <c r="R52" i="21" s="1"/>
  <c r="R57" i="21" s="1"/>
  <c r="R63" i="21" s="1"/>
  <c r="R65" i="21" s="1"/>
  <c r="R75" i="21" s="1"/>
  <c r="K27" i="21"/>
  <c r="I51" i="21"/>
  <c r="L14" i="21"/>
  <c r="L46" i="21"/>
  <c r="K22" i="21"/>
  <c r="F46" i="21"/>
  <c r="K24" i="21"/>
  <c r="K39" i="19"/>
  <c r="E46" i="21"/>
  <c r="H21" i="21"/>
  <c r="K62" i="21"/>
  <c r="F39" i="21"/>
  <c r="V22" i="21"/>
  <c r="V23" i="21" s="1"/>
  <c r="V52" i="21" s="1"/>
  <c r="U23" i="21"/>
  <c r="U52" i="21" s="1"/>
  <c r="U57" i="21" s="1"/>
  <c r="U63" i="21" s="1"/>
  <c r="U65" i="21" s="1"/>
  <c r="U75" i="21" s="1"/>
  <c r="K46" i="20"/>
  <c r="L51" i="21"/>
  <c r="O52" i="21"/>
  <c r="O57" i="21" s="1"/>
  <c r="O63" i="21" s="1"/>
  <c r="O65" i="21" s="1"/>
  <c r="O75" i="21" s="1"/>
  <c r="H39" i="21"/>
  <c r="F21" i="21"/>
  <c r="I39" i="21"/>
  <c r="H14" i="21"/>
  <c r="K21" i="21"/>
  <c r="F62" i="21"/>
  <c r="K39" i="18"/>
  <c r="I21" i="21"/>
  <c r="L39" i="21"/>
  <c r="M53" i="21"/>
  <c r="Y50" i="20"/>
  <c r="K34" i="21"/>
  <c r="J50" i="21"/>
  <c r="K43" i="21"/>
  <c r="Y50" i="18"/>
  <c r="K9" i="21"/>
  <c r="K37" i="21"/>
  <c r="Y64" i="21"/>
  <c r="G50" i="21"/>
  <c r="K25" i="21"/>
  <c r="K32" i="21"/>
  <c r="K38" i="21"/>
  <c r="K31" i="21"/>
  <c r="K33" i="21"/>
  <c r="K44" i="21"/>
  <c r="W50" i="21"/>
  <c r="X50" i="21"/>
  <c r="M50" i="21"/>
  <c r="K56" i="21"/>
  <c r="K29" i="21"/>
  <c r="K12" i="21"/>
  <c r="K28" i="21"/>
  <c r="K26" i="21"/>
  <c r="K42" i="21"/>
  <c r="K48" i="21"/>
  <c r="K47" i="21"/>
  <c r="H23" i="21" l="1"/>
  <c r="L23" i="21"/>
  <c r="I23" i="21"/>
  <c r="I52" i="21" s="1"/>
  <c r="I57" i="21" s="1"/>
  <c r="I63" i="21" s="1"/>
  <c r="I65" i="21" s="1"/>
  <c r="I75" i="21" s="1"/>
  <c r="F23" i="21"/>
  <c r="F52" i="21" s="1"/>
  <c r="F57" i="21" s="1"/>
  <c r="F63" i="21" s="1"/>
  <c r="F65" i="21" s="1"/>
  <c r="F75" i="21" s="1"/>
  <c r="L52" i="21"/>
  <c r="L57" i="21" s="1"/>
  <c r="L63" i="21" s="1"/>
  <c r="L65" i="21" s="1"/>
  <c r="L75" i="21" s="1"/>
  <c r="H52" i="21"/>
  <c r="H57" i="21" s="1"/>
  <c r="H63" i="21" s="1"/>
  <c r="H65" i="21" s="1"/>
  <c r="H75" i="21" s="1"/>
  <c r="K46" i="21"/>
  <c r="K39" i="21"/>
  <c r="M35" i="21"/>
  <c r="W35" i="21"/>
  <c r="Y35" i="21" s="1"/>
  <c r="Y50" i="21"/>
  <c r="E49" i="20"/>
  <c r="E51" i="20" s="1"/>
  <c r="E22" i="20"/>
  <c r="E18" i="19"/>
  <c r="E21" i="19" s="1"/>
  <c r="E22" i="19"/>
  <c r="E49" i="19"/>
  <c r="E51" i="19" s="1"/>
  <c r="E18" i="18"/>
  <c r="E21" i="18" s="1"/>
  <c r="E18" i="20"/>
  <c r="E21" i="20" s="1"/>
  <c r="E11" i="18"/>
  <c r="K11" i="18" s="1"/>
  <c r="E11" i="20"/>
  <c r="K11" i="20" s="1"/>
  <c r="E11" i="19"/>
  <c r="E10" i="18"/>
  <c r="K10" i="18" s="1"/>
  <c r="E10" i="20"/>
  <c r="K10" i="20" s="1"/>
  <c r="E10" i="19"/>
  <c r="E8" i="18"/>
  <c r="K8" i="18" s="1"/>
  <c r="E8" i="20"/>
  <c r="K8" i="20" s="1"/>
  <c r="E8" i="19"/>
  <c r="E7" i="18"/>
  <c r="K7" i="18" s="1"/>
  <c r="E7" i="20"/>
  <c r="K7" i="20" s="1"/>
  <c r="E7" i="19"/>
  <c r="E6" i="18"/>
  <c r="E6" i="20"/>
  <c r="E6" i="19"/>
  <c r="E14" i="19" l="1"/>
  <c r="E23" i="19" s="1"/>
  <c r="E52" i="19" s="1"/>
  <c r="E57" i="19" s="1"/>
  <c r="E63" i="19" s="1"/>
  <c r="K6" i="18"/>
  <c r="K14" i="18" s="1"/>
  <c r="K23" i="18" s="1"/>
  <c r="K52" i="18" s="1"/>
  <c r="K57" i="18" s="1"/>
  <c r="K63" i="18" s="1"/>
  <c r="E14" i="18"/>
  <c r="E23" i="18" s="1"/>
  <c r="E52" i="18" s="1"/>
  <c r="E57" i="18" s="1"/>
  <c r="E63" i="18" s="1"/>
  <c r="K6" i="20"/>
  <c r="K14" i="20" s="1"/>
  <c r="K23" i="20" s="1"/>
  <c r="E14" i="20"/>
  <c r="E23" i="20" s="1"/>
  <c r="E52" i="20" s="1"/>
  <c r="E57" i="20" s="1"/>
  <c r="E63" i="20" s="1"/>
  <c r="E18" i="21"/>
  <c r="G18" i="21" s="1"/>
  <c r="K49" i="20"/>
  <c r="K51" i="20" s="1"/>
  <c r="E6" i="21"/>
  <c r="K6" i="19"/>
  <c r="M6" i="19" s="1"/>
  <c r="E8" i="21"/>
  <c r="K8" i="19"/>
  <c r="K8" i="21" s="1"/>
  <c r="E49" i="21"/>
  <c r="K49" i="19"/>
  <c r="E7" i="21"/>
  <c r="K7" i="19"/>
  <c r="K7" i="21" s="1"/>
  <c r="K10" i="19"/>
  <c r="E10" i="21"/>
  <c r="E11" i="21"/>
  <c r="K11" i="19"/>
  <c r="K11" i="21" s="1"/>
  <c r="E22" i="21"/>
  <c r="G22" i="21" s="1"/>
  <c r="M61" i="21"/>
  <c r="G61" i="21"/>
  <c r="M60" i="21"/>
  <c r="J60" i="21"/>
  <c r="G60" i="21"/>
  <c r="M59" i="21"/>
  <c r="G59" i="21"/>
  <c r="M56" i="21"/>
  <c r="J56" i="21"/>
  <c r="M55" i="21"/>
  <c r="G55" i="21"/>
  <c r="J54" i="21"/>
  <c r="G54" i="21"/>
  <c r="N57" i="21"/>
  <c r="N63" i="21" s="1"/>
  <c r="N65" i="21" s="1"/>
  <c r="N75" i="21" s="1"/>
  <c r="G53" i="21"/>
  <c r="X49" i="21"/>
  <c r="M48" i="21"/>
  <c r="X48" i="21"/>
  <c r="W48" i="21"/>
  <c r="G48" i="21"/>
  <c r="M47" i="21"/>
  <c r="X47" i="21"/>
  <c r="G47" i="21"/>
  <c r="M45" i="21"/>
  <c r="X45" i="21"/>
  <c r="W45" i="21"/>
  <c r="G45" i="21"/>
  <c r="M44" i="21"/>
  <c r="X44" i="21"/>
  <c r="W44" i="21"/>
  <c r="G44" i="21"/>
  <c r="M43" i="21"/>
  <c r="X43" i="21"/>
  <c r="W43" i="21"/>
  <c r="G43" i="21"/>
  <c r="M42" i="21"/>
  <c r="X42" i="21"/>
  <c r="W42" i="21"/>
  <c r="G42" i="21"/>
  <c r="M41" i="21"/>
  <c r="X41" i="21"/>
  <c r="W41" i="21"/>
  <c r="G41" i="21"/>
  <c r="P40" i="21"/>
  <c r="M40" i="21"/>
  <c r="X40" i="21"/>
  <c r="W40" i="21"/>
  <c r="G40" i="21"/>
  <c r="M38" i="21"/>
  <c r="X38" i="21"/>
  <c r="W38" i="21"/>
  <c r="G38" i="21"/>
  <c r="M37" i="21"/>
  <c r="X37" i="21"/>
  <c r="W37" i="21"/>
  <c r="G37" i="21"/>
  <c r="M34" i="21"/>
  <c r="X34" i="21"/>
  <c r="W34" i="21"/>
  <c r="G34" i="21"/>
  <c r="M33" i="21"/>
  <c r="X33" i="21"/>
  <c r="W33" i="21"/>
  <c r="G33" i="21"/>
  <c r="M32" i="21"/>
  <c r="J32" i="21"/>
  <c r="X32" i="21"/>
  <c r="W32" i="21"/>
  <c r="G32" i="21"/>
  <c r="M31" i="21"/>
  <c r="X31" i="21"/>
  <c r="W31" i="21"/>
  <c r="G31" i="21"/>
  <c r="M30" i="21"/>
  <c r="X30" i="21"/>
  <c r="W30" i="21"/>
  <c r="G30" i="21"/>
  <c r="M29" i="21"/>
  <c r="X29" i="21"/>
  <c r="W29" i="21"/>
  <c r="G29" i="21"/>
  <c r="M28" i="21"/>
  <c r="J28" i="21"/>
  <c r="X28" i="21"/>
  <c r="W28" i="21"/>
  <c r="G28" i="21"/>
  <c r="M27" i="21"/>
  <c r="X27" i="21"/>
  <c r="W27" i="21"/>
  <c r="G27" i="21"/>
  <c r="M26" i="21"/>
  <c r="X26" i="21"/>
  <c r="W26" i="21"/>
  <c r="G26" i="21"/>
  <c r="M25" i="21"/>
  <c r="J25" i="21"/>
  <c r="X25" i="21"/>
  <c r="W25" i="21"/>
  <c r="G25" i="21"/>
  <c r="M24" i="21"/>
  <c r="W24" i="21"/>
  <c r="G24" i="21"/>
  <c r="P22" i="21"/>
  <c r="P23" i="21" s="1"/>
  <c r="X22" i="21"/>
  <c r="W22" i="21"/>
  <c r="J22" i="21"/>
  <c r="M20" i="21"/>
  <c r="X20" i="21"/>
  <c r="W20" i="21"/>
  <c r="G20" i="21"/>
  <c r="M19" i="21"/>
  <c r="J19" i="21"/>
  <c r="X19" i="21"/>
  <c r="W19" i="21"/>
  <c r="G19" i="21"/>
  <c r="M18" i="21"/>
  <c r="X18" i="21"/>
  <c r="W18" i="21"/>
  <c r="M17" i="21"/>
  <c r="J17" i="21"/>
  <c r="X17" i="21"/>
  <c r="W17" i="21"/>
  <c r="G17" i="21"/>
  <c r="M16" i="21"/>
  <c r="X16" i="21"/>
  <c r="W16" i="21"/>
  <c r="G16" i="21"/>
  <c r="M15" i="21"/>
  <c r="X15" i="21"/>
  <c r="G15" i="21"/>
  <c r="M13" i="21"/>
  <c r="X13" i="21"/>
  <c r="W13" i="21"/>
  <c r="G13" i="21"/>
  <c r="M12" i="21"/>
  <c r="J12" i="21"/>
  <c r="X12" i="21"/>
  <c r="W12" i="21"/>
  <c r="G12" i="21"/>
  <c r="X11" i="21"/>
  <c r="X10" i="21"/>
  <c r="M9" i="21"/>
  <c r="J9" i="21"/>
  <c r="X9" i="21"/>
  <c r="W9" i="21"/>
  <c r="G9" i="21"/>
  <c r="X8" i="21"/>
  <c r="X7" i="21"/>
  <c r="X6" i="21"/>
  <c r="X61" i="18"/>
  <c r="W61" i="18"/>
  <c r="M61" i="18"/>
  <c r="J61" i="18"/>
  <c r="G61" i="18"/>
  <c r="X60" i="18"/>
  <c r="W60" i="18"/>
  <c r="M60" i="18"/>
  <c r="J60" i="18"/>
  <c r="G60" i="18"/>
  <c r="X59" i="18"/>
  <c r="W59" i="18"/>
  <c r="M59" i="18"/>
  <c r="J59" i="18"/>
  <c r="G59" i="18"/>
  <c r="X58" i="18"/>
  <c r="W58" i="18"/>
  <c r="W62" i="18" s="1"/>
  <c r="M58" i="18"/>
  <c r="J58" i="18"/>
  <c r="G58" i="18"/>
  <c r="X56" i="18"/>
  <c r="W56" i="18"/>
  <c r="M56" i="18"/>
  <c r="J56" i="18"/>
  <c r="G56" i="18"/>
  <c r="X55" i="18"/>
  <c r="W55" i="18"/>
  <c r="M55" i="18"/>
  <c r="J55" i="18"/>
  <c r="G55" i="18"/>
  <c r="X54" i="18"/>
  <c r="W54" i="18"/>
  <c r="M54" i="18"/>
  <c r="J54" i="18"/>
  <c r="G54" i="18"/>
  <c r="X53" i="18"/>
  <c r="W53" i="18"/>
  <c r="M53" i="18"/>
  <c r="J53" i="18"/>
  <c r="G53" i="18"/>
  <c r="X49" i="18"/>
  <c r="W49" i="18"/>
  <c r="J49" i="18"/>
  <c r="G49" i="18"/>
  <c r="X48" i="18"/>
  <c r="W48" i="18"/>
  <c r="J48" i="18"/>
  <c r="G48" i="18"/>
  <c r="X47" i="18"/>
  <c r="W47" i="18"/>
  <c r="M47" i="18"/>
  <c r="M51" i="18" s="1"/>
  <c r="J47" i="18"/>
  <c r="G47" i="18"/>
  <c r="X45" i="18"/>
  <c r="W45" i="18"/>
  <c r="M45" i="18"/>
  <c r="J45" i="18"/>
  <c r="G45" i="18"/>
  <c r="X44" i="18"/>
  <c r="W44" i="18"/>
  <c r="M44" i="18"/>
  <c r="J44" i="18"/>
  <c r="G44" i="18"/>
  <c r="X43" i="18"/>
  <c r="W43" i="18"/>
  <c r="M43" i="18"/>
  <c r="J43" i="18"/>
  <c r="G43" i="18"/>
  <c r="X42" i="18"/>
  <c r="W42" i="18"/>
  <c r="M42" i="18"/>
  <c r="J42" i="18"/>
  <c r="G42" i="18"/>
  <c r="X41" i="18"/>
  <c r="W41" i="18"/>
  <c r="M41" i="18"/>
  <c r="J41" i="18"/>
  <c r="G41" i="18"/>
  <c r="X40" i="18"/>
  <c r="W40" i="18"/>
  <c r="P40" i="18"/>
  <c r="M40" i="18"/>
  <c r="J40" i="18"/>
  <c r="G40" i="18"/>
  <c r="X38" i="18"/>
  <c r="W38" i="18"/>
  <c r="M38" i="18"/>
  <c r="J38" i="18"/>
  <c r="G38" i="18"/>
  <c r="X37" i="18"/>
  <c r="W37" i="18"/>
  <c r="M37" i="18"/>
  <c r="J37" i="18"/>
  <c r="G37" i="18"/>
  <c r="X34" i="18"/>
  <c r="W34" i="18"/>
  <c r="M34" i="18"/>
  <c r="J34" i="18"/>
  <c r="G34" i="18"/>
  <c r="X33" i="18"/>
  <c r="W33" i="18"/>
  <c r="M33" i="18"/>
  <c r="J33" i="18"/>
  <c r="G33" i="18"/>
  <c r="X32" i="18"/>
  <c r="W32" i="18"/>
  <c r="M32" i="18"/>
  <c r="J32" i="18"/>
  <c r="G32" i="18"/>
  <c r="X31" i="18"/>
  <c r="W31" i="18"/>
  <c r="M31" i="18"/>
  <c r="J31" i="18"/>
  <c r="G31" i="18"/>
  <c r="X30" i="18"/>
  <c r="W30" i="18"/>
  <c r="M30" i="18"/>
  <c r="J30" i="18"/>
  <c r="G30" i="18"/>
  <c r="X29" i="18"/>
  <c r="W29" i="18"/>
  <c r="M29" i="18"/>
  <c r="J29" i="18"/>
  <c r="G29" i="18"/>
  <c r="X28" i="18"/>
  <c r="W28" i="18"/>
  <c r="M28" i="18"/>
  <c r="J28" i="18"/>
  <c r="G28" i="18"/>
  <c r="X27" i="18"/>
  <c r="W27" i="18"/>
  <c r="M27" i="18"/>
  <c r="J27" i="18"/>
  <c r="G27" i="18"/>
  <c r="X26" i="18"/>
  <c r="W26" i="18"/>
  <c r="M26" i="18"/>
  <c r="J26" i="18"/>
  <c r="G26" i="18"/>
  <c r="X25" i="18"/>
  <c r="W25" i="18"/>
  <c r="M25" i="18"/>
  <c r="J25" i="18"/>
  <c r="G25" i="18"/>
  <c r="X24" i="18"/>
  <c r="W24" i="18"/>
  <c r="M24" i="18"/>
  <c r="J24" i="18"/>
  <c r="G24" i="18"/>
  <c r="X22" i="18"/>
  <c r="W22" i="18"/>
  <c r="P22" i="18"/>
  <c r="P23" i="18" s="1"/>
  <c r="M22" i="18"/>
  <c r="J22" i="18"/>
  <c r="G22" i="18"/>
  <c r="X20" i="18"/>
  <c r="W20" i="18"/>
  <c r="M20" i="18"/>
  <c r="J20" i="18"/>
  <c r="G20" i="18"/>
  <c r="X19" i="18"/>
  <c r="W19" i="18"/>
  <c r="M19" i="18"/>
  <c r="J19" i="18"/>
  <c r="G19" i="18"/>
  <c r="X18" i="18"/>
  <c r="W18" i="18"/>
  <c r="M18" i="18"/>
  <c r="J18" i="18"/>
  <c r="G18" i="18"/>
  <c r="X17" i="18"/>
  <c r="W17" i="18"/>
  <c r="M17" i="18"/>
  <c r="J17" i="18"/>
  <c r="G17" i="18"/>
  <c r="X16" i="18"/>
  <c r="W16" i="18"/>
  <c r="M16" i="18"/>
  <c r="J16" i="18"/>
  <c r="G16" i="18"/>
  <c r="X15" i="18"/>
  <c r="W15" i="18"/>
  <c r="M15" i="18"/>
  <c r="J15" i="18"/>
  <c r="G15" i="18"/>
  <c r="X13" i="18"/>
  <c r="W13" i="18"/>
  <c r="M13" i="18"/>
  <c r="J13" i="18"/>
  <c r="G13" i="18"/>
  <c r="X12" i="18"/>
  <c r="W12" i="18"/>
  <c r="M12" i="18"/>
  <c r="J12" i="18"/>
  <c r="G12" i="18"/>
  <c r="X11" i="18"/>
  <c r="W11" i="18"/>
  <c r="M11" i="18"/>
  <c r="J11" i="18"/>
  <c r="G11" i="18"/>
  <c r="X10" i="18"/>
  <c r="W10" i="18"/>
  <c r="M10" i="18"/>
  <c r="J10" i="18"/>
  <c r="G10" i="18"/>
  <c r="X9" i="18"/>
  <c r="W9" i="18"/>
  <c r="M9" i="18"/>
  <c r="J9" i="18"/>
  <c r="G9" i="18"/>
  <c r="X8" i="18"/>
  <c r="W8" i="18"/>
  <c r="M8" i="18"/>
  <c r="J8" i="18"/>
  <c r="G8" i="18"/>
  <c r="X7" i="18"/>
  <c r="W7" i="18"/>
  <c r="M7" i="18"/>
  <c r="J7" i="18"/>
  <c r="G7" i="18"/>
  <c r="X6" i="18"/>
  <c r="W6" i="18"/>
  <c r="M6" i="18"/>
  <c r="J6" i="18"/>
  <c r="X61" i="20"/>
  <c r="W61" i="20"/>
  <c r="M61" i="20"/>
  <c r="J61" i="20"/>
  <c r="G61" i="20"/>
  <c r="X60" i="20"/>
  <c r="W60" i="20"/>
  <c r="M60" i="20"/>
  <c r="J60" i="20"/>
  <c r="G60" i="20"/>
  <c r="X59" i="20"/>
  <c r="W59" i="20"/>
  <c r="M59" i="20"/>
  <c r="J59" i="20"/>
  <c r="G59" i="20"/>
  <c r="X58" i="20"/>
  <c r="W58" i="20"/>
  <c r="M58" i="20"/>
  <c r="J58" i="20"/>
  <c r="G58" i="20"/>
  <c r="X56" i="20"/>
  <c r="W56" i="20"/>
  <c r="M56" i="20"/>
  <c r="J56" i="20"/>
  <c r="G56" i="20"/>
  <c r="X55" i="20"/>
  <c r="W55" i="20"/>
  <c r="M55" i="20"/>
  <c r="J55" i="20"/>
  <c r="G55" i="20"/>
  <c r="X54" i="20"/>
  <c r="W54" i="20"/>
  <c r="M54" i="20"/>
  <c r="J54" i="20"/>
  <c r="G54" i="20"/>
  <c r="X53" i="20"/>
  <c r="W53" i="20"/>
  <c r="M53" i="20"/>
  <c r="J53" i="20"/>
  <c r="G53" i="20"/>
  <c r="X49" i="20"/>
  <c r="J49" i="20"/>
  <c r="G49" i="20"/>
  <c r="X48" i="20"/>
  <c r="W48" i="20"/>
  <c r="M48" i="20"/>
  <c r="J48" i="20"/>
  <c r="G48" i="20"/>
  <c r="X47" i="20"/>
  <c r="W47" i="20"/>
  <c r="M47" i="20"/>
  <c r="J47" i="20"/>
  <c r="G47" i="20"/>
  <c r="X45" i="20"/>
  <c r="W45" i="20"/>
  <c r="M45" i="20"/>
  <c r="J45" i="20"/>
  <c r="G45" i="20"/>
  <c r="X44" i="20"/>
  <c r="W44" i="20"/>
  <c r="M44" i="20"/>
  <c r="J44" i="20"/>
  <c r="G44" i="20"/>
  <c r="X43" i="20"/>
  <c r="W43" i="20"/>
  <c r="M43" i="20"/>
  <c r="J43" i="20"/>
  <c r="G43" i="20"/>
  <c r="X42" i="20"/>
  <c r="W42" i="20"/>
  <c r="M42" i="20"/>
  <c r="J42" i="20"/>
  <c r="G42" i="20"/>
  <c r="X41" i="20"/>
  <c r="W41" i="20"/>
  <c r="M41" i="20"/>
  <c r="J41" i="20"/>
  <c r="G41" i="20"/>
  <c r="X40" i="20"/>
  <c r="W40" i="20"/>
  <c r="P40" i="20"/>
  <c r="M40" i="20"/>
  <c r="J40" i="20"/>
  <c r="G40" i="20"/>
  <c r="X38" i="20"/>
  <c r="W38" i="20"/>
  <c r="M38" i="20"/>
  <c r="J38" i="20"/>
  <c r="G38" i="20"/>
  <c r="X37" i="20"/>
  <c r="W37" i="20"/>
  <c r="M37" i="20"/>
  <c r="J37" i="20"/>
  <c r="G37" i="20"/>
  <c r="X34" i="20"/>
  <c r="W34" i="20"/>
  <c r="M34" i="20"/>
  <c r="J34" i="20"/>
  <c r="G34" i="20"/>
  <c r="X33" i="20"/>
  <c r="W33" i="20"/>
  <c r="M33" i="20"/>
  <c r="J33" i="20"/>
  <c r="G33" i="20"/>
  <c r="X32" i="20"/>
  <c r="W32" i="20"/>
  <c r="M32" i="20"/>
  <c r="J32" i="20"/>
  <c r="G32" i="20"/>
  <c r="X31" i="20"/>
  <c r="W31" i="20"/>
  <c r="M31" i="20"/>
  <c r="J31" i="20"/>
  <c r="G31" i="20"/>
  <c r="X30" i="20"/>
  <c r="M30" i="20"/>
  <c r="J30" i="20"/>
  <c r="G30" i="20"/>
  <c r="X29" i="20"/>
  <c r="W29" i="20"/>
  <c r="M29" i="20"/>
  <c r="J29" i="20"/>
  <c r="G29" i="20"/>
  <c r="X28" i="20"/>
  <c r="W28" i="20"/>
  <c r="M28" i="20"/>
  <c r="J28" i="20"/>
  <c r="G28" i="20"/>
  <c r="X27" i="20"/>
  <c r="W27" i="20"/>
  <c r="M27" i="20"/>
  <c r="J27" i="20"/>
  <c r="G27" i="20"/>
  <c r="X26" i="20"/>
  <c r="W26" i="20"/>
  <c r="M26" i="20"/>
  <c r="J26" i="20"/>
  <c r="G26" i="20"/>
  <c r="X25" i="20"/>
  <c r="W25" i="20"/>
  <c r="M25" i="20"/>
  <c r="J25" i="20"/>
  <c r="G25" i="20"/>
  <c r="X24" i="20"/>
  <c r="W24" i="20"/>
  <c r="M24" i="20"/>
  <c r="J24" i="20"/>
  <c r="G24" i="20"/>
  <c r="X22" i="20"/>
  <c r="W22" i="20"/>
  <c r="P22" i="20"/>
  <c r="P23" i="20" s="1"/>
  <c r="M22" i="20"/>
  <c r="J22" i="20"/>
  <c r="G22" i="20"/>
  <c r="X20" i="20"/>
  <c r="W20" i="20"/>
  <c r="M20" i="20"/>
  <c r="J20" i="20"/>
  <c r="G20" i="20"/>
  <c r="X19" i="20"/>
  <c r="W19" i="20"/>
  <c r="M19" i="20"/>
  <c r="J19" i="20"/>
  <c r="G19" i="20"/>
  <c r="X18" i="20"/>
  <c r="W18" i="20"/>
  <c r="M18" i="20"/>
  <c r="J18" i="20"/>
  <c r="G18" i="20"/>
  <c r="X17" i="20"/>
  <c r="W17" i="20"/>
  <c r="M17" i="20"/>
  <c r="J17" i="20"/>
  <c r="G17" i="20"/>
  <c r="X16" i="20"/>
  <c r="W16" i="20"/>
  <c r="M16" i="20"/>
  <c r="J16" i="20"/>
  <c r="G16" i="20"/>
  <c r="X15" i="20"/>
  <c r="W15" i="20"/>
  <c r="M15" i="20"/>
  <c r="J15" i="20"/>
  <c r="G15" i="20"/>
  <c r="X13" i="20"/>
  <c r="W13" i="20"/>
  <c r="M13" i="20"/>
  <c r="J13" i="20"/>
  <c r="G13" i="20"/>
  <c r="X12" i="20"/>
  <c r="W12" i="20"/>
  <c r="M12" i="20"/>
  <c r="J12" i="20"/>
  <c r="G12" i="20"/>
  <c r="X11" i="20"/>
  <c r="W11" i="20"/>
  <c r="M11" i="20"/>
  <c r="J11" i="20"/>
  <c r="G11" i="20"/>
  <c r="X10" i="20"/>
  <c r="W10" i="20"/>
  <c r="M10" i="20"/>
  <c r="J10" i="20"/>
  <c r="G10" i="20"/>
  <c r="X9" i="20"/>
  <c r="W9" i="20"/>
  <c r="M9" i="20"/>
  <c r="J9" i="20"/>
  <c r="G9" i="20"/>
  <c r="X8" i="20"/>
  <c r="W8" i="20"/>
  <c r="M8" i="20"/>
  <c r="J8" i="20"/>
  <c r="G8" i="20"/>
  <c r="X7" i="20"/>
  <c r="W7" i="20"/>
  <c r="M7" i="20"/>
  <c r="J7" i="20"/>
  <c r="G7" i="20"/>
  <c r="X6" i="20"/>
  <c r="J6" i="20"/>
  <c r="G6" i="20"/>
  <c r="X61" i="19"/>
  <c r="W61" i="19"/>
  <c r="M61" i="19"/>
  <c r="J61" i="19"/>
  <c r="G61" i="19"/>
  <c r="X60" i="19"/>
  <c r="W60" i="19"/>
  <c r="M60" i="19"/>
  <c r="J60" i="19"/>
  <c r="G60" i="19"/>
  <c r="X59" i="19"/>
  <c r="W59" i="19"/>
  <c r="M59" i="19"/>
  <c r="J59" i="19"/>
  <c r="G59" i="19"/>
  <c r="X58" i="19"/>
  <c r="W58" i="19"/>
  <c r="M58" i="19"/>
  <c r="J58" i="19"/>
  <c r="G58" i="19"/>
  <c r="X56" i="19"/>
  <c r="W56" i="19"/>
  <c r="M56" i="19"/>
  <c r="J56" i="19"/>
  <c r="G56" i="19"/>
  <c r="X55" i="19"/>
  <c r="W55" i="19"/>
  <c r="M55" i="19"/>
  <c r="J55" i="19"/>
  <c r="G55" i="19"/>
  <c r="X54" i="19"/>
  <c r="W54" i="19"/>
  <c r="M54" i="19"/>
  <c r="J54" i="19"/>
  <c r="G54" i="19"/>
  <c r="X53" i="19"/>
  <c r="W53" i="19"/>
  <c r="M53" i="19"/>
  <c r="J53" i="19"/>
  <c r="G53" i="19"/>
  <c r="X49" i="19"/>
  <c r="J49" i="19"/>
  <c r="G49" i="19"/>
  <c r="X48" i="19"/>
  <c r="W48" i="19"/>
  <c r="M48" i="19"/>
  <c r="J48" i="19"/>
  <c r="G48" i="19"/>
  <c r="X47" i="19"/>
  <c r="W47" i="19"/>
  <c r="M47" i="19"/>
  <c r="J47" i="19"/>
  <c r="G47" i="19"/>
  <c r="X45" i="19"/>
  <c r="W45" i="19"/>
  <c r="M45" i="19"/>
  <c r="J45" i="19"/>
  <c r="G45" i="19"/>
  <c r="X44" i="19"/>
  <c r="W44" i="19"/>
  <c r="M44" i="19"/>
  <c r="J44" i="19"/>
  <c r="G44" i="19"/>
  <c r="X43" i="19"/>
  <c r="W43" i="19"/>
  <c r="M43" i="19"/>
  <c r="J43" i="19"/>
  <c r="G43" i="19"/>
  <c r="X42" i="19"/>
  <c r="W42" i="19"/>
  <c r="M42" i="19"/>
  <c r="J42" i="19"/>
  <c r="G42" i="19"/>
  <c r="X41" i="19"/>
  <c r="W41" i="19"/>
  <c r="W46" i="19" s="1"/>
  <c r="M41" i="19"/>
  <c r="J41" i="19"/>
  <c r="G41" i="19"/>
  <c r="X40" i="19"/>
  <c r="W40" i="19"/>
  <c r="V40" i="19"/>
  <c r="S40" i="19"/>
  <c r="P40" i="19"/>
  <c r="M40" i="19"/>
  <c r="J40" i="19"/>
  <c r="G40" i="19"/>
  <c r="X38" i="19"/>
  <c r="W38" i="19"/>
  <c r="M38" i="19"/>
  <c r="J38" i="19"/>
  <c r="G38" i="19"/>
  <c r="X37" i="19"/>
  <c r="W37" i="19"/>
  <c r="M37" i="19"/>
  <c r="J37" i="19"/>
  <c r="G37" i="19"/>
  <c r="X36" i="19"/>
  <c r="W36" i="19"/>
  <c r="X35" i="19"/>
  <c r="W35" i="19"/>
  <c r="M35" i="19"/>
  <c r="J35" i="19"/>
  <c r="X34" i="19"/>
  <c r="W34" i="19"/>
  <c r="M34" i="19"/>
  <c r="J34" i="19"/>
  <c r="G34" i="19"/>
  <c r="X33" i="19"/>
  <c r="W33" i="19"/>
  <c r="M33" i="19"/>
  <c r="J33" i="19"/>
  <c r="G33" i="19"/>
  <c r="X32" i="19"/>
  <c r="W32" i="19"/>
  <c r="M32" i="19"/>
  <c r="J32" i="19"/>
  <c r="G32" i="19"/>
  <c r="X31" i="19"/>
  <c r="W31" i="19"/>
  <c r="M31" i="19"/>
  <c r="J31" i="19"/>
  <c r="G31" i="19"/>
  <c r="X30" i="19"/>
  <c r="W30" i="19"/>
  <c r="M30" i="19"/>
  <c r="J30" i="19"/>
  <c r="G30" i="19"/>
  <c r="X29" i="19"/>
  <c r="W29" i="19"/>
  <c r="M29" i="19"/>
  <c r="J29" i="19"/>
  <c r="G29" i="19"/>
  <c r="X28" i="19"/>
  <c r="W28" i="19"/>
  <c r="M28" i="19"/>
  <c r="J28" i="19"/>
  <c r="G28" i="19"/>
  <c r="X27" i="19"/>
  <c r="W27" i="19"/>
  <c r="M27" i="19"/>
  <c r="J27" i="19"/>
  <c r="G27" i="19"/>
  <c r="X26" i="19"/>
  <c r="W26" i="19"/>
  <c r="M26" i="19"/>
  <c r="J26" i="19"/>
  <c r="G26" i="19"/>
  <c r="X25" i="19"/>
  <c r="W25" i="19"/>
  <c r="M25" i="19"/>
  <c r="J25" i="19"/>
  <c r="G25" i="19"/>
  <c r="X24" i="19"/>
  <c r="X39" i="19" s="1"/>
  <c r="W24" i="19"/>
  <c r="M24" i="19"/>
  <c r="J24" i="19"/>
  <c r="G24" i="19"/>
  <c r="X22" i="19"/>
  <c r="W22" i="19"/>
  <c r="V22" i="19"/>
  <c r="V23" i="19" s="1"/>
  <c r="S22" i="19"/>
  <c r="S23" i="19" s="1"/>
  <c r="P22" i="19"/>
  <c r="P23" i="19" s="1"/>
  <c r="M22" i="19"/>
  <c r="J22" i="19"/>
  <c r="G22" i="19"/>
  <c r="X20" i="19"/>
  <c r="W20" i="19"/>
  <c r="M20" i="19"/>
  <c r="J20" i="19"/>
  <c r="G20" i="19"/>
  <c r="X19" i="19"/>
  <c r="W19" i="19"/>
  <c r="M19" i="19"/>
  <c r="J19" i="19"/>
  <c r="G19" i="19"/>
  <c r="X18" i="19"/>
  <c r="W18" i="19"/>
  <c r="M18" i="19"/>
  <c r="J18" i="19"/>
  <c r="G18" i="19"/>
  <c r="X17" i="19"/>
  <c r="W17" i="19"/>
  <c r="M17" i="19"/>
  <c r="J17" i="19"/>
  <c r="G17" i="19"/>
  <c r="X16" i="19"/>
  <c r="W16" i="19"/>
  <c r="M16" i="19"/>
  <c r="J16" i="19"/>
  <c r="G16" i="19"/>
  <c r="X15" i="19"/>
  <c r="W15" i="19"/>
  <c r="M15" i="19"/>
  <c r="J15" i="19"/>
  <c r="G15" i="19"/>
  <c r="G21" i="19" s="1"/>
  <c r="X13" i="19"/>
  <c r="W13" i="19"/>
  <c r="M13" i="19"/>
  <c r="J13" i="19"/>
  <c r="G13" i="19"/>
  <c r="X12" i="19"/>
  <c r="W12" i="19"/>
  <c r="M12" i="19"/>
  <c r="J12" i="19"/>
  <c r="G12" i="19"/>
  <c r="X11" i="19"/>
  <c r="W11" i="19"/>
  <c r="M11" i="19"/>
  <c r="J11" i="19"/>
  <c r="G11" i="19"/>
  <c r="X10" i="19"/>
  <c r="W10" i="19"/>
  <c r="J10" i="19"/>
  <c r="G10" i="19"/>
  <c r="X9" i="19"/>
  <c r="W9" i="19"/>
  <c r="M9" i="19"/>
  <c r="J9" i="19"/>
  <c r="G9" i="19"/>
  <c r="X8" i="19"/>
  <c r="M8" i="19"/>
  <c r="J8" i="19"/>
  <c r="G8" i="19"/>
  <c r="X7" i="19"/>
  <c r="J7" i="19"/>
  <c r="G7" i="19"/>
  <c r="X6" i="19"/>
  <c r="W6" i="19"/>
  <c r="J6" i="19"/>
  <c r="G6" i="19"/>
  <c r="M46" i="18" l="1"/>
  <c r="J51" i="18"/>
  <c r="X62" i="18"/>
  <c r="W21" i="20"/>
  <c r="J62" i="20"/>
  <c r="M21" i="18"/>
  <c r="M23" i="18" s="1"/>
  <c r="M52" i="18" s="1"/>
  <c r="M57" i="18" s="1"/>
  <c r="M39" i="18"/>
  <c r="W46" i="18"/>
  <c r="M7" i="19"/>
  <c r="W8" i="19"/>
  <c r="G51" i="19"/>
  <c r="W62" i="19"/>
  <c r="J14" i="20"/>
  <c r="G62" i="20"/>
  <c r="W7" i="19"/>
  <c r="W14" i="19" s="1"/>
  <c r="W23" i="19" s="1"/>
  <c r="M46" i="19"/>
  <c r="J51" i="19"/>
  <c r="X62" i="19"/>
  <c r="J51" i="20"/>
  <c r="X46" i="21"/>
  <c r="W39" i="19"/>
  <c r="J39" i="18"/>
  <c r="W39" i="21"/>
  <c r="J14" i="19"/>
  <c r="X21" i="19"/>
  <c r="S52" i="19"/>
  <c r="S57" i="19" s="1"/>
  <c r="S63" i="19" s="1"/>
  <c r="M39" i="19"/>
  <c r="J46" i="19"/>
  <c r="J21" i="20"/>
  <c r="J23" i="20" s="1"/>
  <c r="X14" i="18"/>
  <c r="G21" i="18"/>
  <c r="G39" i="18"/>
  <c r="J46" i="18"/>
  <c r="G14" i="20"/>
  <c r="G23" i="20" s="1"/>
  <c r="X21" i="21"/>
  <c r="G14" i="19"/>
  <c r="W21" i="19"/>
  <c r="P52" i="19"/>
  <c r="P57" i="19" s="1"/>
  <c r="P63" i="19" s="1"/>
  <c r="J39" i="19"/>
  <c r="G46" i="19"/>
  <c r="M62" i="19"/>
  <c r="G21" i="20"/>
  <c r="M46" i="20"/>
  <c r="X62" i="20"/>
  <c r="W14" i="18"/>
  <c r="G46" i="18"/>
  <c r="M62" i="18"/>
  <c r="M21" i="19"/>
  <c r="G39" i="19"/>
  <c r="X51" i="19"/>
  <c r="J62" i="19"/>
  <c r="W6" i="20"/>
  <c r="Y6" i="20" s="1"/>
  <c r="J46" i="20"/>
  <c r="G51" i="20"/>
  <c r="W62" i="20"/>
  <c r="M14" i="18"/>
  <c r="J62" i="18"/>
  <c r="V52" i="19"/>
  <c r="V57" i="19" s="1"/>
  <c r="V63" i="19" s="1"/>
  <c r="M21" i="20"/>
  <c r="J21" i="18"/>
  <c r="X14" i="19"/>
  <c r="X23" i="19" s="1"/>
  <c r="X52" i="19" s="1"/>
  <c r="X57" i="19" s="1"/>
  <c r="X63" i="19" s="1"/>
  <c r="J21" i="19"/>
  <c r="X46" i="19"/>
  <c r="G62" i="19"/>
  <c r="M6" i="20"/>
  <c r="M14" i="20" s="1"/>
  <c r="G46" i="20"/>
  <c r="M62" i="20"/>
  <c r="J14" i="18"/>
  <c r="J23" i="18" s="1"/>
  <c r="G62" i="18"/>
  <c r="P52" i="21"/>
  <c r="E51" i="21"/>
  <c r="K52" i="20"/>
  <c r="K57" i="20" s="1"/>
  <c r="K63" i="20" s="1"/>
  <c r="M21" i="21"/>
  <c r="M46" i="21"/>
  <c r="M49" i="19"/>
  <c r="M51" i="19" s="1"/>
  <c r="K51" i="19"/>
  <c r="G23" i="19"/>
  <c r="P52" i="18"/>
  <c r="P57" i="18" s="1"/>
  <c r="P63" i="18" s="1"/>
  <c r="E14" i="21"/>
  <c r="M39" i="20"/>
  <c r="G21" i="21"/>
  <c r="G39" i="21"/>
  <c r="V53" i="21"/>
  <c r="V57" i="21" s="1"/>
  <c r="V63" i="21" s="1"/>
  <c r="V65" i="21" s="1"/>
  <c r="V75" i="21" s="1"/>
  <c r="T57" i="21"/>
  <c r="T63" i="21" s="1"/>
  <c r="T65" i="21" s="1"/>
  <c r="T75" i="21" s="1"/>
  <c r="K6" i="21"/>
  <c r="M6" i="21" s="1"/>
  <c r="K14" i="19"/>
  <c r="K23" i="19" s="1"/>
  <c r="J39" i="20"/>
  <c r="P52" i="20"/>
  <c r="P57" i="20" s="1"/>
  <c r="P63" i="20" s="1"/>
  <c r="M51" i="20"/>
  <c r="G51" i="18"/>
  <c r="W46" i="21"/>
  <c r="G46" i="21"/>
  <c r="S53" i="21"/>
  <c r="S57" i="21" s="1"/>
  <c r="S63" i="21" s="1"/>
  <c r="S65" i="21" s="1"/>
  <c r="S75" i="21" s="1"/>
  <c r="Q57" i="21"/>
  <c r="Q63" i="21" s="1"/>
  <c r="Q65" i="21" s="1"/>
  <c r="Q75" i="21" s="1"/>
  <c r="E21" i="21"/>
  <c r="E23" i="21" s="1"/>
  <c r="M39" i="21"/>
  <c r="X51" i="21"/>
  <c r="X14" i="21"/>
  <c r="X51" i="18"/>
  <c r="W51" i="18"/>
  <c r="X46" i="18"/>
  <c r="X39" i="18"/>
  <c r="W39" i="18"/>
  <c r="W21" i="18"/>
  <c r="X21" i="18"/>
  <c r="X23" i="18" s="1"/>
  <c r="G39" i="20"/>
  <c r="X39" i="20"/>
  <c r="X51" i="20"/>
  <c r="X46" i="20"/>
  <c r="W46" i="20"/>
  <c r="W39" i="20"/>
  <c r="W14" i="20"/>
  <c r="W23" i="20" s="1"/>
  <c r="X14" i="20"/>
  <c r="X21" i="20"/>
  <c r="W49" i="20"/>
  <c r="W51" i="20" s="1"/>
  <c r="M49" i="20"/>
  <c r="W49" i="19"/>
  <c r="Y49" i="19" s="1"/>
  <c r="K49" i="21"/>
  <c r="M11" i="21"/>
  <c r="G10" i="21"/>
  <c r="G8" i="21"/>
  <c r="G11" i="21"/>
  <c r="W7" i="21"/>
  <c r="Y7" i="21" s="1"/>
  <c r="G7" i="21"/>
  <c r="M8" i="21"/>
  <c r="G49" i="21"/>
  <c r="W8" i="21"/>
  <c r="Y8" i="21" s="1"/>
  <c r="Y22" i="18"/>
  <c r="K10" i="21"/>
  <c r="M10" i="19"/>
  <c r="M14" i="19" s="1"/>
  <c r="M23" i="19" s="1"/>
  <c r="W11" i="21"/>
  <c r="Y11" i="21" s="1"/>
  <c r="M7" i="21"/>
  <c r="Y17" i="21"/>
  <c r="Y18" i="21"/>
  <c r="Y20" i="18"/>
  <c r="Y17" i="18"/>
  <c r="Y16" i="18"/>
  <c r="Y56" i="18"/>
  <c r="Y8" i="18"/>
  <c r="Y10" i="18"/>
  <c r="Y11" i="18"/>
  <c r="Y12" i="18"/>
  <c r="Y43" i="20"/>
  <c r="Y16" i="20"/>
  <c r="W61" i="21"/>
  <c r="W54" i="21"/>
  <c r="Y40" i="20"/>
  <c r="Y38" i="21"/>
  <c r="Y18" i="19"/>
  <c r="Y28" i="18"/>
  <c r="Y34" i="18"/>
  <c r="Y49" i="18"/>
  <c r="Y61" i="18"/>
  <c r="Y15" i="20"/>
  <c r="Y45" i="18"/>
  <c r="Y47" i="18"/>
  <c r="Y53" i="18"/>
  <c r="Y60" i="18"/>
  <c r="W55" i="21"/>
  <c r="Y32" i="19"/>
  <c r="Y38" i="19"/>
  <c r="Y40" i="19"/>
  <c r="Y10" i="20"/>
  <c r="Y25" i="20"/>
  <c r="Y31" i="20"/>
  <c r="Y37" i="20"/>
  <c r="Y42" i="20"/>
  <c r="Y48" i="20"/>
  <c r="Y49" i="20"/>
  <c r="Y61" i="20"/>
  <c r="Y48" i="21"/>
  <c r="X54" i="21"/>
  <c r="X55" i="21"/>
  <c r="W60" i="21"/>
  <c r="Y59" i="20"/>
  <c r="Y25" i="18"/>
  <c r="Y31" i="18"/>
  <c r="Y43" i="18"/>
  <c r="Y8" i="19"/>
  <c r="Y12" i="19"/>
  <c r="Y56" i="19"/>
  <c r="Y9" i="20"/>
  <c r="Y22" i="20"/>
  <c r="Y60" i="20"/>
  <c r="Y6" i="18"/>
  <c r="Y38" i="18"/>
  <c r="Y59" i="18"/>
  <c r="Y28" i="21"/>
  <c r="Y43" i="21"/>
  <c r="W59" i="21"/>
  <c r="Y48" i="18"/>
  <c r="Y17" i="19"/>
  <c r="Y28" i="19"/>
  <c r="Y60" i="19"/>
  <c r="Y17" i="20"/>
  <c r="Y20" i="20"/>
  <c r="Y33" i="20"/>
  <c r="Y44" i="20"/>
  <c r="W56" i="21"/>
  <c r="Y22" i="19"/>
  <c r="Y7" i="20"/>
  <c r="Y11" i="20"/>
  <c r="Y12" i="20"/>
  <c r="Y28" i="20"/>
  <c r="Y34" i="20"/>
  <c r="Y45" i="20"/>
  <c r="Y54" i="19"/>
  <c r="Y19" i="18"/>
  <c r="Y37" i="18"/>
  <c r="Y44" i="18"/>
  <c r="Y19" i="19"/>
  <c r="Y26" i="19"/>
  <c r="Y44" i="19"/>
  <c r="Y13" i="20"/>
  <c r="Y29" i="20"/>
  <c r="Y41" i="20"/>
  <c r="Y15" i="18"/>
  <c r="Y26" i="18"/>
  <c r="Y32" i="18"/>
  <c r="Y54" i="18"/>
  <c r="Y19" i="21"/>
  <c r="Y37" i="21"/>
  <c r="P53" i="21"/>
  <c r="X61" i="21"/>
  <c r="Y45" i="19"/>
  <c r="Y8" i="20"/>
  <c r="Y18" i="20"/>
  <c r="Y30" i="20"/>
  <c r="Y53" i="20"/>
  <c r="Y27" i="18"/>
  <c r="Y33" i="18"/>
  <c r="Y40" i="18"/>
  <c r="Y55" i="18"/>
  <c r="Y30" i="21"/>
  <c r="Y44" i="21"/>
  <c r="Y15" i="19"/>
  <c r="Y34" i="19"/>
  <c r="Y58" i="19"/>
  <c r="Y19" i="20"/>
  <c r="Y54" i="20"/>
  <c r="Y41" i="18"/>
  <c r="Y58" i="18"/>
  <c r="X53" i="21"/>
  <c r="X59" i="21"/>
  <c r="W53" i="21"/>
  <c r="Y29" i="19"/>
  <c r="Y35" i="19"/>
  <c r="Y48" i="19"/>
  <c r="Y26" i="20"/>
  <c r="Y32" i="20"/>
  <c r="Y38" i="20"/>
  <c r="Y55" i="20"/>
  <c r="Y13" i="18"/>
  <c r="Y29" i="18"/>
  <c r="Y42" i="18"/>
  <c r="Y42" i="19"/>
  <c r="Y27" i="20"/>
  <c r="Y47" i="20"/>
  <c r="Y51" i="20" s="1"/>
  <c r="Y56" i="20"/>
  <c r="Y58" i="20"/>
  <c r="Y9" i="18"/>
  <c r="Y18" i="18"/>
  <c r="Y30" i="18"/>
  <c r="Y26" i="21"/>
  <c r="Y32" i="21"/>
  <c r="Y33" i="21"/>
  <c r="Y42" i="21"/>
  <c r="Y12" i="21"/>
  <c r="Y25" i="21"/>
  <c r="Y45" i="21"/>
  <c r="Y29" i="21"/>
  <c r="Y9" i="21"/>
  <c r="Y41" i="21"/>
  <c r="Y13" i="21"/>
  <c r="Y16" i="21"/>
  <c r="Y27" i="21"/>
  <c r="Y31" i="21"/>
  <c r="Y34" i="21"/>
  <c r="Y20" i="21"/>
  <c r="Y22" i="21"/>
  <c r="Y40" i="21"/>
  <c r="G6" i="21"/>
  <c r="J11" i="21"/>
  <c r="W15" i="21"/>
  <c r="W21" i="21" s="1"/>
  <c r="J18" i="21"/>
  <c r="M22" i="21"/>
  <c r="J24" i="21"/>
  <c r="J31" i="21"/>
  <c r="J38" i="21"/>
  <c r="J53" i="21"/>
  <c r="M54" i="21"/>
  <c r="J55" i="21"/>
  <c r="G58" i="21"/>
  <c r="M58" i="21"/>
  <c r="J59" i="21"/>
  <c r="J61" i="21"/>
  <c r="J10" i="21"/>
  <c r="X24" i="21"/>
  <c r="X39" i="21" s="1"/>
  <c r="J29" i="21"/>
  <c r="J30" i="21"/>
  <c r="J37" i="21"/>
  <c r="J40" i="21"/>
  <c r="X56" i="21"/>
  <c r="X58" i="21"/>
  <c r="X60" i="21"/>
  <c r="W58" i="21"/>
  <c r="J6" i="21"/>
  <c r="J7" i="21"/>
  <c r="J8" i="21"/>
  <c r="J16" i="21"/>
  <c r="J27" i="21"/>
  <c r="J34" i="21"/>
  <c r="J58" i="21"/>
  <c r="J13" i="21"/>
  <c r="J15" i="21"/>
  <c r="J20" i="21"/>
  <c r="J26" i="21"/>
  <c r="J33" i="21"/>
  <c r="J41" i="21"/>
  <c r="J42" i="21"/>
  <c r="J43" i="21"/>
  <c r="J44" i="21"/>
  <c r="J45" i="21"/>
  <c r="J48" i="21"/>
  <c r="J49" i="21"/>
  <c r="Y24" i="18"/>
  <c r="G6" i="18"/>
  <c r="G14" i="18" s="1"/>
  <c r="G23" i="18" s="1"/>
  <c r="Y7" i="18"/>
  <c r="Y24" i="20"/>
  <c r="Y7" i="19"/>
  <c r="Y11" i="19"/>
  <c r="Y10" i="19"/>
  <c r="Y25" i="19"/>
  <c r="Y31" i="19"/>
  <c r="Y55" i="19"/>
  <c r="Y27" i="19"/>
  <c r="Y33" i="19"/>
  <c r="Y43" i="19"/>
  <c r="Y61" i="19"/>
  <c r="Y59" i="19"/>
  <c r="Y53" i="19"/>
  <c r="Y41" i="19"/>
  <c r="Y30" i="19"/>
  <c r="Y36" i="19"/>
  <c r="Y37" i="19"/>
  <c r="Y20" i="19"/>
  <c r="Y16" i="19"/>
  <c r="Y6" i="19"/>
  <c r="Y9" i="19"/>
  <c r="Y13" i="19"/>
  <c r="Y47" i="19"/>
  <c r="Y51" i="19" s="1"/>
  <c r="Y24" i="19"/>
  <c r="X23" i="21" l="1"/>
  <c r="M23" i="20"/>
  <c r="Y46" i="19"/>
  <c r="J23" i="19"/>
  <c r="J52" i="19" s="1"/>
  <c r="J57" i="19" s="1"/>
  <c r="J63" i="19" s="1"/>
  <c r="E52" i="21"/>
  <c r="E57" i="21" s="1"/>
  <c r="E63" i="21" s="1"/>
  <c r="E65" i="21" s="1"/>
  <c r="E75" i="21" s="1"/>
  <c r="X62" i="21"/>
  <c r="W6" i="21"/>
  <c r="J52" i="18"/>
  <c r="J57" i="18" s="1"/>
  <c r="J63" i="18" s="1"/>
  <c r="M52" i="19"/>
  <c r="M57" i="19" s="1"/>
  <c r="M63" i="19" s="1"/>
  <c r="Y62" i="20"/>
  <c r="Y62" i="18"/>
  <c r="K52" i="19"/>
  <c r="K57" i="19" s="1"/>
  <c r="K63" i="19" s="1"/>
  <c r="G52" i="19"/>
  <c r="G57" i="19" s="1"/>
  <c r="G63" i="19" s="1"/>
  <c r="W23" i="18"/>
  <c r="W52" i="18" s="1"/>
  <c r="W57" i="18" s="1"/>
  <c r="W63" i="18" s="1"/>
  <c r="G52" i="18"/>
  <c r="G57" i="18" s="1"/>
  <c r="G63" i="18" s="1"/>
  <c r="J52" i="20"/>
  <c r="J57" i="20" s="1"/>
  <c r="J63" i="20" s="1"/>
  <c r="M63" i="18"/>
  <c r="J21" i="21"/>
  <c r="Y62" i="19"/>
  <c r="G52" i="20"/>
  <c r="G57" i="20" s="1"/>
  <c r="G63" i="20" s="1"/>
  <c r="M52" i="20"/>
  <c r="M57" i="20" s="1"/>
  <c r="M63" i="20" s="1"/>
  <c r="K51" i="21"/>
  <c r="Y39" i="19"/>
  <c r="P57" i="21"/>
  <c r="P63" i="21" s="1"/>
  <c r="P65" i="21" s="1"/>
  <c r="P75" i="21" s="1"/>
  <c r="G62" i="21"/>
  <c r="J39" i="21"/>
  <c r="G14" i="21"/>
  <c r="G23" i="21" s="1"/>
  <c r="G51" i="21"/>
  <c r="W51" i="19"/>
  <c r="W52" i="19" s="1"/>
  <c r="W57" i="19" s="1"/>
  <c r="W63" i="19" s="1"/>
  <c r="M62" i="21"/>
  <c r="Y14" i="19"/>
  <c r="W62" i="21"/>
  <c r="Y46" i="18"/>
  <c r="K14" i="21"/>
  <c r="K23" i="21" s="1"/>
  <c r="J62" i="21"/>
  <c r="J46" i="21"/>
  <c r="J14" i="21"/>
  <c r="Y21" i="19"/>
  <c r="X52" i="21"/>
  <c r="X57" i="21" s="1"/>
  <c r="Y46" i="21"/>
  <c r="Y6" i="21"/>
  <c r="Y51" i="18"/>
  <c r="X52" i="18"/>
  <c r="X57" i="18" s="1"/>
  <c r="X63" i="18" s="1"/>
  <c r="Y39" i="18"/>
  <c r="Y14" i="18"/>
  <c r="Y21" i="18"/>
  <c r="Y39" i="20"/>
  <c r="Y46" i="20"/>
  <c r="W52" i="20"/>
  <c r="W57" i="20" s="1"/>
  <c r="W63" i="20" s="1"/>
  <c r="X23" i="20"/>
  <c r="X52" i="20" s="1"/>
  <c r="X57" i="20" s="1"/>
  <c r="X63" i="20" s="1"/>
  <c r="Y14" i="20"/>
  <c r="Y21" i="20"/>
  <c r="Y60" i="21"/>
  <c r="M49" i="21"/>
  <c r="W49" i="21"/>
  <c r="Y49" i="21" s="1"/>
  <c r="G56" i="21"/>
  <c r="Y56" i="21"/>
  <c r="M10" i="21"/>
  <c r="W10" i="21"/>
  <c r="Y54" i="21"/>
  <c r="Y55" i="21"/>
  <c r="Y61" i="21"/>
  <c r="Y59" i="21"/>
  <c r="Y53" i="21"/>
  <c r="Y15" i="21"/>
  <c r="Y21" i="21" s="1"/>
  <c r="Y58" i="21"/>
  <c r="Y24" i="21"/>
  <c r="Y39" i="21" s="1"/>
  <c r="Y23" i="19" l="1"/>
  <c r="Y52" i="19" s="1"/>
  <c r="Y57" i="19" s="1"/>
  <c r="Y63" i="19" s="1"/>
  <c r="K52" i="21"/>
  <c r="K57" i="21" s="1"/>
  <c r="K63" i="21" s="1"/>
  <c r="K65" i="21" s="1"/>
  <c r="K75" i="21" s="1"/>
  <c r="X63" i="21"/>
  <c r="X65" i="21" s="1"/>
  <c r="X75" i="21" s="1"/>
  <c r="W14" i="21"/>
  <c r="W23" i="21" s="1"/>
  <c r="G52" i="21"/>
  <c r="G57" i="21" s="1"/>
  <c r="G63" i="21" s="1"/>
  <c r="G65" i="21" s="1"/>
  <c r="G75" i="21" s="1"/>
  <c r="Y62" i="21"/>
  <c r="M14" i="21"/>
  <c r="M23" i="21" s="1"/>
  <c r="J23" i="21"/>
  <c r="M51" i="21"/>
  <c r="Y23" i="18"/>
  <c r="Y52" i="18" s="1"/>
  <c r="Y57" i="18" s="1"/>
  <c r="Y63" i="18" s="1"/>
  <c r="Y23" i="20"/>
  <c r="Y52" i="20" s="1"/>
  <c r="Y57" i="20" s="1"/>
  <c r="Y63" i="20" s="1"/>
  <c r="Y10" i="21"/>
  <c r="Y14" i="21" s="1"/>
  <c r="Y23" i="21" s="1"/>
  <c r="M52" i="21" l="1"/>
  <c r="M57" i="21" s="1"/>
  <c r="M63" i="21" s="1"/>
  <c r="M65" i="21" s="1"/>
  <c r="M75" i="21" s="1"/>
  <c r="J47" i="21"/>
  <c r="W47" i="21"/>
  <c r="W51" i="21" s="1"/>
  <c r="W52" i="21" s="1"/>
  <c r="W57" i="21" s="1"/>
  <c r="W63" i="21" s="1"/>
  <c r="W65" i="21" s="1"/>
  <c r="W75" i="21" s="1"/>
  <c r="J51" i="21" l="1"/>
  <c r="J52" i="21" s="1"/>
  <c r="J57" i="21" s="1"/>
  <c r="J63" i="21" s="1"/>
  <c r="J65" i="21" s="1"/>
  <c r="J75" i="21" s="1"/>
  <c r="Y47" i="21"/>
  <c r="Y51" i="21" s="1"/>
  <c r="Y52" i="21" s="1"/>
  <c r="Y57" i="21" s="1"/>
  <c r="Y63" i="21" s="1"/>
  <c r="Y65" i="21" s="1"/>
  <c r="Y75" i="21" s="1"/>
  <c r="C39" i="19" l="1"/>
  <c r="C40" i="18" l="1"/>
  <c r="C40" i="19"/>
  <c r="C40" i="21"/>
  <c r="C40" i="20"/>
  <c r="D35" i="19"/>
  <c r="D35" i="18"/>
  <c r="D35" i="21"/>
  <c r="D35" i="20"/>
</calcChain>
</file>

<file path=xl/sharedStrings.xml><?xml version="1.0" encoding="utf-8"?>
<sst xmlns="http://schemas.openxmlformats.org/spreadsheetml/2006/main" count="384" uniqueCount="115">
  <si>
    <t>Plant Capacity (MW)</t>
  </si>
  <si>
    <t>Discom share(%)</t>
  </si>
  <si>
    <t>Energy MU</t>
  </si>
  <si>
    <t>TO
(a)</t>
  </si>
  <si>
    <t>Fixed
(A)</t>
  </si>
  <si>
    <t>Variable
(B)</t>
  </si>
  <si>
    <t>Income Tax
(D)</t>
  </si>
  <si>
    <t>Others
(E)</t>
  </si>
  <si>
    <t>Total
F=(A+B+C+D+E)</t>
  </si>
  <si>
    <t>Dr.NTTPS-IV</t>
  </si>
  <si>
    <t>RTPP Stage-I</t>
  </si>
  <si>
    <t>RTPP Stage-II</t>
  </si>
  <si>
    <t>RTPP Stage-III</t>
  </si>
  <si>
    <t>RTPP Stage-IV</t>
  </si>
  <si>
    <t>Srisailam -RBPH</t>
  </si>
  <si>
    <t>NSRCPH</t>
  </si>
  <si>
    <t>NSTPDC PH</t>
  </si>
  <si>
    <t>Pennaahobilam</t>
  </si>
  <si>
    <t>Mini Hydel (Chettipeta)</t>
  </si>
  <si>
    <t>NPC (MAPS)</t>
  </si>
  <si>
    <t>Thermal Powertech Corporation India</t>
  </si>
  <si>
    <t>Purchase from SPDCL</t>
  </si>
  <si>
    <t>TO
(d)</t>
  </si>
  <si>
    <t>Actual(e)</t>
  </si>
  <si>
    <t>TO
(g)</t>
  </si>
  <si>
    <t>TO
(j)</t>
  </si>
  <si>
    <t>TO
(m)</t>
  </si>
  <si>
    <t>TO
(p)</t>
  </si>
  <si>
    <t>TO
(s)</t>
  </si>
  <si>
    <t>Variance (c) = (b-a)</t>
  </si>
  <si>
    <t>Dr.NTTPS-I</t>
  </si>
  <si>
    <t>Dr.NTTPS-II</t>
  </si>
  <si>
    <t>Dr.NTTPS-III</t>
  </si>
  <si>
    <t>TOTAL (Thermal)</t>
  </si>
  <si>
    <t>Sileru Complex</t>
  </si>
  <si>
    <t>GENCO-HYDEL</t>
  </si>
  <si>
    <t>APGENCO-TOTAL</t>
  </si>
  <si>
    <t>NTPC (SR) Ramagundam I &amp; II</t>
  </si>
  <si>
    <t>NTPC (SR) Simhadri Stage 1</t>
  </si>
  <si>
    <t>NTPC (SR) Simhadri Stage 2</t>
  </si>
  <si>
    <t>NTPC (SR) Talcher St. II</t>
  </si>
  <si>
    <t>NTPC (SR) Ramagundam Stage-III</t>
  </si>
  <si>
    <t>NTPC Kudgi Stage 1</t>
  </si>
  <si>
    <t>NTECL Valluru</t>
  </si>
  <si>
    <t>NLC Stage-I</t>
  </si>
  <si>
    <t>NLC Stage-II</t>
  </si>
  <si>
    <t>NPC (Kaiga Unit-I,II)</t>
  </si>
  <si>
    <t>NPC (Kaiga Unit-III &amp; IV)</t>
  </si>
  <si>
    <t>NLC NNTPS</t>
  </si>
  <si>
    <t>CGS TOTAL</t>
  </si>
  <si>
    <t>JNNSM PH-1 THERMAL</t>
  </si>
  <si>
    <t>NCE-WIND TOTAL</t>
  </si>
  <si>
    <t>NCE -OTHERS</t>
  </si>
  <si>
    <t>NCE-SOLAR Total</t>
  </si>
  <si>
    <t>JNNSM PH-1 SOLAR</t>
  </si>
  <si>
    <t>JNNSM PH-2 SOLAR</t>
  </si>
  <si>
    <t>Total NCE</t>
  </si>
  <si>
    <t>Godavari Gas</t>
  </si>
  <si>
    <t>SDSTPS (APPDCL)</t>
  </si>
  <si>
    <t>Total Others</t>
  </si>
  <si>
    <t>Total Dispatch</t>
  </si>
  <si>
    <t>JNNSM PH-II THERMAL</t>
  </si>
  <si>
    <t>Net Dispatch</t>
  </si>
  <si>
    <t>UI</t>
  </si>
  <si>
    <t>TRANSMISSION COST</t>
  </si>
  <si>
    <t>SLDC COST</t>
  </si>
  <si>
    <t>PGCIL</t>
  </si>
  <si>
    <t>ULDC COST</t>
  </si>
  <si>
    <t>TOTAL TRANSMISSION &amp; ULDC CHARGES</t>
  </si>
  <si>
    <t>TOTAL POWER PURCHASE</t>
  </si>
  <si>
    <t>Sl. No</t>
  </si>
  <si>
    <t>NTPL (NLC Tamilnadu Power Ltd Stage-1) (TUTICORIN)</t>
  </si>
  <si>
    <t>Cost Components (Rs.Millions)</t>
  </si>
  <si>
    <t>Variance
(f)= (e-d)</t>
  </si>
  <si>
    <t>Actual
(h)</t>
  </si>
  <si>
    <t>Variance
(i)= (h-g)</t>
  </si>
  <si>
    <t>Actual
(k)</t>
  </si>
  <si>
    <t>Variance
l= (k-j)</t>
  </si>
  <si>
    <t>Actual
(n)</t>
  </si>
  <si>
    <t>Variance 
(o)=(n-m)</t>
  </si>
  <si>
    <t>Actual
(q)</t>
  </si>
  <si>
    <t>Variance 
(r)= (q-p)</t>
  </si>
  <si>
    <t>Actual
(t)</t>
  </si>
  <si>
    <t>Variance 
(u)= (t-s)</t>
  </si>
  <si>
    <t xml:space="preserve">Incentive
(C) </t>
  </si>
  <si>
    <t xml:space="preserve">NET POWER PURCHASE </t>
  </si>
  <si>
    <t>NTPC DADRI &amp; MOUDHA</t>
  </si>
  <si>
    <t>HNPCL</t>
  </si>
  <si>
    <t>SDSTPS (APPDCL)stage-I</t>
  </si>
  <si>
    <t>Generating station/ Stage/Source</t>
  </si>
  <si>
    <t>**BUNDLED CAPACITY CLUBBED WITH CGS STATIONS</t>
  </si>
  <si>
    <t>NTPL (NLC Tamilnadu Power Ltd 
Stage-1) (TUTICORIN)</t>
  </si>
  <si>
    <t>Actual (b)</t>
  </si>
  <si>
    <t>Actual (e)</t>
  </si>
  <si>
    <t>Discom share (%)</t>
  </si>
  <si>
    <t>Past claims/refunds, if any, pertaining to the quarters(s) prior to the quarter for which FPPCA is being filed</t>
  </si>
  <si>
    <t>Short Term Purchases Exchanges</t>
  </si>
  <si>
    <t>Short Term Purchases (Exchanges)</t>
  </si>
  <si>
    <t xml:space="preserve">Short Term Purchases </t>
  </si>
  <si>
    <t>FY 19-20 adjustments in FY 2020-21 PP Cost</t>
  </si>
  <si>
    <t>APGENCO Solar 400 MW 2019-20</t>
  </si>
  <si>
    <t>NVVNL Bundled Coal</t>
  </si>
  <si>
    <t>NP Kunta Ultra and SBG</t>
  </si>
  <si>
    <t>SECI ALL</t>
  </si>
  <si>
    <t>Rebate on Power Purchase</t>
  </si>
  <si>
    <t>Solar Roof Top PP Cost</t>
  </si>
  <si>
    <t>D-D Sale Adjustment for FY 2019-20</t>
  </si>
  <si>
    <t>Sub Total</t>
  </si>
  <si>
    <t>NET POWER PURCHASE including FY 2019-20 adjustment</t>
  </si>
  <si>
    <t>Inter-state hydel  (AP Share) (Machkund+TBdam)</t>
  </si>
  <si>
    <t>UI Charges</t>
  </si>
  <si>
    <t>ANNEXURE-1
APCPDCL - Fuel and Power Purchase cost for FY 2021-22 Q4 (February'2022)</t>
  </si>
  <si>
    <t>ANNEXURE-1
APCPDCL - Fuel and Power Purchase cost for FY 2021-22 Q4 (January'2022)</t>
  </si>
  <si>
    <t>ANNEXURE-1
APCPDCL - Fuel and Power Purchase cost for FY 2021-22 Q4 (March'2022)</t>
  </si>
  <si>
    <t>ANNEXURE-1
APCPDCL - Fuel and Power Purchase cost for FY 2021-22 Q4 (January'2022 to March'2022)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</si>
</sst>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0" fontId="2" fillId="0" borderId="1" xfId="4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0" fontId="1" fillId="0" borderId="1" xfId="4" applyNumberFormat="1" applyFont="1" applyBorder="1" applyAlignment="1">
      <alignment horizontal="center" vertical="center" wrapText="1"/>
    </xf>
    <xf numFmtId="10" fontId="2" fillId="4" borderId="1" xfId="4" applyNumberFormat="1" applyFont="1" applyFill="1" applyBorder="1" applyAlignment="1">
      <alignment horizontal="center" vertical="center" wrapText="1"/>
    </xf>
    <xf numFmtId="10" fontId="2" fillId="0" borderId="2" xfId="4" applyNumberFormat="1" applyFont="1" applyBorder="1" applyAlignment="1">
      <alignment vertical="center" wrapText="1"/>
    </xf>
    <xf numFmtId="10" fontId="1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2" fillId="0" borderId="1" xfId="4" applyNumberFormat="1" applyFont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7" fillId="0" borderId="1" xfId="4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0" fontId="1" fillId="0" borderId="2" xfId="4" applyNumberFormat="1" applyFont="1" applyBorder="1" applyAlignment="1">
      <alignment horizontal="center" vertical="center" wrapText="1"/>
    </xf>
    <xf numFmtId="10" fontId="1" fillId="0" borderId="3" xfId="4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10 11" xfId="1" xr:uid="{00000000-0005-0000-0000-000001000000}"/>
    <cellStyle name="Normal 10 11 2" xfId="2" xr:uid="{00000000-0005-0000-0000-000002000000}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B103"/>
  <sheetViews>
    <sheetView view="pageBreakPreview" topLeftCell="A16" zoomScaleSheetLayoutView="100" workbookViewId="0">
      <selection activeCell="G37" sqref="G37"/>
    </sheetView>
  </sheetViews>
  <sheetFormatPr defaultRowHeight="21.75" customHeight="1" x14ac:dyDescent="0.25"/>
  <cols>
    <col min="1" max="1" width="5" style="1" customWidth="1"/>
    <col min="2" max="2" width="30.7109375" style="20" customWidth="1"/>
    <col min="3" max="3" width="8.5703125" style="1" customWidth="1"/>
    <col min="4" max="4" width="8.7109375" style="1" customWidth="1"/>
    <col min="5" max="5" width="7.5703125" style="12" bestFit="1" customWidth="1"/>
    <col min="6" max="6" width="9" style="12" bestFit="1" customWidth="1"/>
    <col min="7" max="7" width="9.42578125" style="6" bestFit="1" customWidth="1"/>
    <col min="8" max="8" width="7.5703125" style="12" bestFit="1" customWidth="1"/>
    <col min="9" max="9" width="9" style="5" bestFit="1" customWidth="1"/>
    <col min="10" max="10" width="9.140625" style="6" bestFit="1" customWidth="1"/>
    <col min="11" max="12" width="7.5703125" style="5" bestFit="1" customWidth="1"/>
    <col min="13" max="13" width="9.140625" style="6" bestFit="1" customWidth="1"/>
    <col min="14" max="14" width="4.5703125" style="4" bestFit="1" customWidth="1"/>
    <col min="15" max="15" width="6.7109375" style="4" bestFit="1" customWidth="1"/>
    <col min="16" max="16" width="9.140625" style="75" bestFit="1" customWidth="1"/>
    <col min="17" max="17" width="4.5703125" style="4" bestFit="1" customWidth="1"/>
    <col min="18" max="18" width="6.7109375" style="4" bestFit="1" customWidth="1"/>
    <col min="19" max="19" width="9.140625" style="75" bestFit="1" customWidth="1"/>
    <col min="20" max="20" width="4.5703125" style="4" bestFit="1" customWidth="1"/>
    <col min="21" max="21" width="6.7109375" style="4" bestFit="1" customWidth="1"/>
    <col min="22" max="22" width="9.140625" style="75" bestFit="1" customWidth="1"/>
    <col min="23" max="23" width="8.5703125" style="75" bestFit="1" customWidth="1"/>
    <col min="24" max="24" width="7.5703125" style="75" bestFit="1" customWidth="1"/>
    <col min="25" max="25" width="9.140625" style="75" bestFit="1" customWidth="1"/>
    <col min="26" max="26" width="14.7109375" style="1" customWidth="1"/>
    <col min="27" max="27" width="9.28515625" style="1" bestFit="1" customWidth="1"/>
    <col min="28" max="28" width="10.5703125" style="1" bestFit="1" customWidth="1"/>
    <col min="29" max="16384" width="9.140625" style="1"/>
  </cols>
  <sheetData>
    <row r="1" spans="1:26" s="77" customFormat="1" ht="35.25" customHeight="1" x14ac:dyDescent="0.25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75"/>
    </row>
    <row r="2" spans="1:26" s="77" customFormat="1" ht="15.75" customHeight="1" x14ac:dyDescent="0.25">
      <c r="A2" s="114" t="s">
        <v>70</v>
      </c>
      <c r="B2" s="115" t="s">
        <v>89</v>
      </c>
      <c r="C2" s="114" t="s">
        <v>0</v>
      </c>
      <c r="D2" s="114" t="s">
        <v>1</v>
      </c>
      <c r="E2" s="102" t="s">
        <v>2</v>
      </c>
      <c r="F2" s="102"/>
      <c r="G2" s="102"/>
      <c r="H2" s="114" t="s">
        <v>72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5"/>
    </row>
    <row r="3" spans="1:26" s="77" customFormat="1" ht="33.75" customHeight="1" x14ac:dyDescent="0.25">
      <c r="A3" s="114"/>
      <c r="B3" s="115"/>
      <c r="C3" s="114"/>
      <c r="D3" s="114"/>
      <c r="E3" s="102" t="s">
        <v>3</v>
      </c>
      <c r="F3" s="102" t="s">
        <v>92</v>
      </c>
      <c r="G3" s="103" t="s">
        <v>29</v>
      </c>
      <c r="H3" s="102" t="s">
        <v>4</v>
      </c>
      <c r="I3" s="102"/>
      <c r="J3" s="102"/>
      <c r="K3" s="103" t="s">
        <v>5</v>
      </c>
      <c r="L3" s="103"/>
      <c r="M3" s="103"/>
      <c r="N3" s="104" t="s">
        <v>84</v>
      </c>
      <c r="O3" s="104"/>
      <c r="P3" s="104"/>
      <c r="Q3" s="104" t="s">
        <v>6</v>
      </c>
      <c r="R3" s="104"/>
      <c r="S3" s="104"/>
      <c r="T3" s="104" t="s">
        <v>7</v>
      </c>
      <c r="U3" s="104"/>
      <c r="V3" s="104"/>
      <c r="W3" s="104" t="s">
        <v>8</v>
      </c>
      <c r="X3" s="104"/>
      <c r="Y3" s="104"/>
      <c r="Z3" s="75"/>
    </row>
    <row r="4" spans="1:26" s="77" customFormat="1" ht="33" customHeight="1" x14ac:dyDescent="0.25">
      <c r="A4" s="114"/>
      <c r="B4" s="115"/>
      <c r="C4" s="114"/>
      <c r="D4" s="114"/>
      <c r="E4" s="102"/>
      <c r="F4" s="102"/>
      <c r="G4" s="103"/>
      <c r="H4" s="76" t="s">
        <v>22</v>
      </c>
      <c r="I4" s="74" t="s">
        <v>23</v>
      </c>
      <c r="J4" s="74" t="s">
        <v>73</v>
      </c>
      <c r="K4" s="74" t="s">
        <v>24</v>
      </c>
      <c r="L4" s="74" t="s">
        <v>74</v>
      </c>
      <c r="M4" s="74" t="s">
        <v>75</v>
      </c>
      <c r="N4" s="72" t="s">
        <v>25</v>
      </c>
      <c r="O4" s="72" t="s">
        <v>76</v>
      </c>
      <c r="P4" s="72" t="s">
        <v>77</v>
      </c>
      <c r="Q4" s="72" t="s">
        <v>26</v>
      </c>
      <c r="R4" s="72" t="s">
        <v>78</v>
      </c>
      <c r="S4" s="72" t="s">
        <v>79</v>
      </c>
      <c r="T4" s="72" t="s">
        <v>27</v>
      </c>
      <c r="U4" s="72" t="s">
        <v>80</v>
      </c>
      <c r="V4" s="72" t="s">
        <v>81</v>
      </c>
      <c r="W4" s="72" t="s">
        <v>28</v>
      </c>
      <c r="X4" s="72" t="s">
        <v>82</v>
      </c>
      <c r="Y4" s="72" t="s">
        <v>83</v>
      </c>
      <c r="Z4" s="75"/>
    </row>
    <row r="5" spans="1:26" s="24" customFormat="1" ht="15.95" hidden="1" customHeight="1" x14ac:dyDescent="0.25">
      <c r="A5" s="25"/>
      <c r="B5" s="87"/>
      <c r="C5" s="25"/>
      <c r="D5" s="26"/>
      <c r="E5" s="27"/>
      <c r="F5" s="27"/>
      <c r="G5" s="82"/>
      <c r="H5" s="27"/>
      <c r="I5" s="27"/>
      <c r="J5" s="82"/>
      <c r="K5" s="27"/>
      <c r="L5" s="27"/>
      <c r="M5" s="82"/>
      <c r="N5" s="25"/>
      <c r="O5" s="25"/>
      <c r="P5" s="83"/>
      <c r="Q5" s="25"/>
      <c r="R5" s="25"/>
      <c r="S5" s="83"/>
      <c r="T5" s="25"/>
      <c r="U5" s="25"/>
      <c r="V5" s="83"/>
      <c r="W5" s="83"/>
      <c r="X5" s="83"/>
      <c r="Y5" s="83"/>
    </row>
    <row r="6" spans="1:26" ht="15.95" customHeight="1" x14ac:dyDescent="0.25">
      <c r="A6" s="79">
        <v>1</v>
      </c>
      <c r="B6" s="28" t="s">
        <v>30</v>
      </c>
      <c r="C6" s="89">
        <v>420</v>
      </c>
      <c r="D6" s="61">
        <f>'CPDCL Q4 trueup'!D6</f>
        <v>0.2334</v>
      </c>
      <c r="E6" s="78">
        <f>27.76+27.76</f>
        <v>55.52</v>
      </c>
      <c r="F6" s="78">
        <v>51.185475799999999</v>
      </c>
      <c r="G6" s="74">
        <f>F6-E6</f>
        <v>-4.3345242000000042</v>
      </c>
      <c r="H6" s="78">
        <v>45.14</v>
      </c>
      <c r="I6" s="71">
        <v>45.140208333333334</v>
      </c>
      <c r="J6" s="74">
        <f>I6-H6</f>
        <v>2.0833333333314386E-4</v>
      </c>
      <c r="K6" s="78">
        <f>E6*3.34</f>
        <v>185.43680000000001</v>
      </c>
      <c r="L6" s="71">
        <v>170.37382228640001</v>
      </c>
      <c r="M6" s="74">
        <f>L6-K6</f>
        <v>-15.062977713599992</v>
      </c>
      <c r="N6" s="71">
        <v>0</v>
      </c>
      <c r="O6" s="71">
        <v>0</v>
      </c>
      <c r="P6" s="74">
        <f>O6-N6</f>
        <v>0</v>
      </c>
      <c r="Q6" s="71">
        <v>0</v>
      </c>
      <c r="R6" s="71">
        <v>0</v>
      </c>
      <c r="S6" s="74">
        <f>R6-Q6</f>
        <v>0</v>
      </c>
      <c r="T6" s="71">
        <v>0</v>
      </c>
      <c r="U6" s="71">
        <v>0</v>
      </c>
      <c r="V6" s="74">
        <f>U6-T6</f>
        <v>0</v>
      </c>
      <c r="W6" s="74">
        <f>H6+K6+N6+Q6+T6</f>
        <v>230.57679999999999</v>
      </c>
      <c r="X6" s="74">
        <f>I6+L6+O6+R6+U6</f>
        <v>215.51403061973335</v>
      </c>
      <c r="Y6" s="74">
        <f>X6-W6</f>
        <v>-15.062769380266644</v>
      </c>
      <c r="Z6" s="12"/>
    </row>
    <row r="7" spans="1:26" ht="15.95" customHeight="1" x14ac:dyDescent="0.25">
      <c r="A7" s="79">
        <v>2</v>
      </c>
      <c r="B7" s="28" t="s">
        <v>31</v>
      </c>
      <c r="C7" s="89">
        <v>420</v>
      </c>
      <c r="D7" s="61">
        <f>'CPDCL Q4 trueup'!D7</f>
        <v>0.2334</v>
      </c>
      <c r="E7" s="78">
        <f>27.76+27.76</f>
        <v>55.52</v>
      </c>
      <c r="F7" s="78">
        <v>51.185475799999999</v>
      </c>
      <c r="G7" s="74">
        <f t="shared" ref="G7:G13" si="0">F7-E7</f>
        <v>-4.3345242000000042</v>
      </c>
      <c r="H7" s="78">
        <v>45.14</v>
      </c>
      <c r="I7" s="71">
        <v>45.140208333333334</v>
      </c>
      <c r="J7" s="74">
        <f t="shared" ref="J7:J13" si="1">I7-H7</f>
        <v>2.0833333333314386E-4</v>
      </c>
      <c r="K7" s="78">
        <f>E7*3.34</f>
        <v>185.43680000000001</v>
      </c>
      <c r="L7" s="71">
        <v>170.37382228640001</v>
      </c>
      <c r="M7" s="74">
        <f t="shared" ref="M7:M13" si="2">L7-K7</f>
        <v>-15.062977713599992</v>
      </c>
      <c r="N7" s="71">
        <v>0</v>
      </c>
      <c r="O7" s="71">
        <v>0</v>
      </c>
      <c r="P7" s="74">
        <f t="shared" ref="P7:P13" si="3">O7-N7</f>
        <v>0</v>
      </c>
      <c r="Q7" s="71">
        <v>0</v>
      </c>
      <c r="R7" s="71">
        <v>0</v>
      </c>
      <c r="S7" s="74">
        <f t="shared" ref="S7:S13" si="4">R7-Q7</f>
        <v>0</v>
      </c>
      <c r="T7" s="71">
        <v>0</v>
      </c>
      <c r="U7" s="71">
        <v>0</v>
      </c>
      <c r="V7" s="74">
        <f t="shared" ref="V7:V13" si="5">U7-T7</f>
        <v>0</v>
      </c>
      <c r="W7" s="74">
        <f t="shared" ref="W7:X13" si="6">H7+K7+N7+Q7+T7</f>
        <v>230.57679999999999</v>
      </c>
      <c r="X7" s="74">
        <f t="shared" si="6"/>
        <v>215.51403061973335</v>
      </c>
      <c r="Y7" s="74">
        <f t="shared" ref="Y7:Y13" si="7">X7-W7</f>
        <v>-15.062769380266644</v>
      </c>
      <c r="Z7" s="12"/>
    </row>
    <row r="8" spans="1:26" ht="15.95" customHeight="1" x14ac:dyDescent="0.25">
      <c r="A8" s="79">
        <v>3</v>
      </c>
      <c r="B8" s="28" t="s">
        <v>32</v>
      </c>
      <c r="C8" s="89">
        <v>420</v>
      </c>
      <c r="D8" s="61">
        <f>'CPDCL Q4 trueup'!D8</f>
        <v>0.2334</v>
      </c>
      <c r="E8" s="78">
        <f>27.76+27.76</f>
        <v>55.52</v>
      </c>
      <c r="F8" s="78">
        <v>51.185475799999999</v>
      </c>
      <c r="G8" s="74">
        <f t="shared" si="0"/>
        <v>-4.3345242000000042</v>
      </c>
      <c r="H8" s="78">
        <v>45.14</v>
      </c>
      <c r="I8" s="71">
        <v>45.140208333333334</v>
      </c>
      <c r="J8" s="74">
        <f t="shared" si="1"/>
        <v>2.0833333333314386E-4</v>
      </c>
      <c r="K8" s="78">
        <f>E8*3.34</f>
        <v>185.43680000000001</v>
      </c>
      <c r="L8" s="71">
        <v>170.37382228640001</v>
      </c>
      <c r="M8" s="74">
        <f t="shared" si="2"/>
        <v>-15.062977713599992</v>
      </c>
      <c r="N8" s="71">
        <v>0</v>
      </c>
      <c r="O8" s="71">
        <v>0</v>
      </c>
      <c r="P8" s="74">
        <f t="shared" si="3"/>
        <v>0</v>
      </c>
      <c r="Q8" s="71">
        <v>0</v>
      </c>
      <c r="R8" s="71">
        <v>0</v>
      </c>
      <c r="S8" s="74">
        <f t="shared" si="4"/>
        <v>0</v>
      </c>
      <c r="T8" s="71">
        <v>0</v>
      </c>
      <c r="U8" s="71">
        <v>0</v>
      </c>
      <c r="V8" s="74">
        <f t="shared" si="5"/>
        <v>0</v>
      </c>
      <c r="W8" s="74">
        <f t="shared" si="6"/>
        <v>230.57679999999999</v>
      </c>
      <c r="X8" s="74">
        <f t="shared" si="6"/>
        <v>215.51403061973335</v>
      </c>
      <c r="Y8" s="74">
        <f t="shared" si="7"/>
        <v>-15.062769380266644</v>
      </c>
      <c r="Z8" s="12"/>
    </row>
    <row r="9" spans="1:26" ht="15.95" customHeight="1" x14ac:dyDescent="0.25">
      <c r="A9" s="79">
        <v>4</v>
      </c>
      <c r="B9" s="28" t="s">
        <v>9</v>
      </c>
      <c r="C9" s="89">
        <v>500</v>
      </c>
      <c r="D9" s="61">
        <f>'CPDCL Q4 trueup'!D9</f>
        <v>0.2334</v>
      </c>
      <c r="E9" s="78">
        <v>34.58</v>
      </c>
      <c r="F9" s="78">
        <v>32.208616499999998</v>
      </c>
      <c r="G9" s="74">
        <f t="shared" si="0"/>
        <v>-2.3713835000000003</v>
      </c>
      <c r="H9" s="78">
        <v>55.375000000000007</v>
      </c>
      <c r="I9" s="71">
        <v>55.374149999999993</v>
      </c>
      <c r="J9" s="74">
        <f t="shared" si="1"/>
        <v>-8.5000000001400622E-4</v>
      </c>
      <c r="K9" s="78">
        <f>E9*3.15</f>
        <v>108.92699999999999</v>
      </c>
      <c r="L9" s="71">
        <v>101.4318031374</v>
      </c>
      <c r="M9" s="74">
        <f t="shared" si="2"/>
        <v>-7.4951968625999967</v>
      </c>
      <c r="N9" s="71">
        <v>0</v>
      </c>
      <c r="O9" s="71">
        <v>0</v>
      </c>
      <c r="P9" s="74">
        <f t="shared" si="3"/>
        <v>0</v>
      </c>
      <c r="Q9" s="71">
        <v>0</v>
      </c>
      <c r="R9" s="71">
        <v>0</v>
      </c>
      <c r="S9" s="74">
        <f t="shared" si="4"/>
        <v>0</v>
      </c>
      <c r="T9" s="71">
        <v>0</v>
      </c>
      <c r="U9" s="71">
        <v>0</v>
      </c>
      <c r="V9" s="74">
        <f t="shared" si="5"/>
        <v>0</v>
      </c>
      <c r="W9" s="74">
        <f>H9+K9+N9+Q9+T9</f>
        <v>164.30199999999999</v>
      </c>
      <c r="X9" s="74">
        <f t="shared" si="6"/>
        <v>156.8059531374</v>
      </c>
      <c r="Y9" s="74">
        <f t="shared" si="7"/>
        <v>-7.4960468625999965</v>
      </c>
      <c r="Z9" s="12"/>
    </row>
    <row r="10" spans="1:26" ht="15.95" customHeight="1" x14ac:dyDescent="0.25">
      <c r="A10" s="79">
        <v>5</v>
      </c>
      <c r="B10" s="28" t="s">
        <v>10</v>
      </c>
      <c r="C10" s="89">
        <v>420</v>
      </c>
      <c r="D10" s="61">
        <f>'CPDCL Q4 trueup'!D10</f>
        <v>0.2334</v>
      </c>
      <c r="E10" s="78">
        <f>27.76+27.76</f>
        <v>55.52</v>
      </c>
      <c r="F10" s="78">
        <v>33.984323700000004</v>
      </c>
      <c r="G10" s="74">
        <f t="shared" si="0"/>
        <v>-21.535676299999999</v>
      </c>
      <c r="H10" s="78">
        <v>51.383333333333326</v>
      </c>
      <c r="I10" s="71">
        <v>51.381065000000007</v>
      </c>
      <c r="J10" s="74">
        <f t="shared" si="1"/>
        <v>-2.2683333333191058E-3</v>
      </c>
      <c r="K10" s="78">
        <f>E10*3.86</f>
        <v>214.30719999999999</v>
      </c>
      <c r="L10" s="71">
        <v>131.10865841699999</v>
      </c>
      <c r="M10" s="74">
        <f t="shared" si="2"/>
        <v>-83.198541583000008</v>
      </c>
      <c r="N10" s="71">
        <v>0</v>
      </c>
      <c r="O10" s="71">
        <v>0</v>
      </c>
      <c r="P10" s="74">
        <f t="shared" si="3"/>
        <v>0</v>
      </c>
      <c r="Q10" s="71">
        <v>0</v>
      </c>
      <c r="R10" s="71">
        <v>0</v>
      </c>
      <c r="S10" s="74">
        <f t="shared" si="4"/>
        <v>0</v>
      </c>
      <c r="T10" s="71">
        <v>0</v>
      </c>
      <c r="U10" s="71">
        <v>0</v>
      </c>
      <c r="V10" s="74">
        <f t="shared" si="5"/>
        <v>0</v>
      </c>
      <c r="W10" s="74">
        <f>H10+K10+N10+Q10+T10</f>
        <v>265.69053333333329</v>
      </c>
      <c r="X10" s="74">
        <f t="shared" si="6"/>
        <v>182.48972341699999</v>
      </c>
      <c r="Y10" s="74">
        <f t="shared" si="7"/>
        <v>-83.200809916333299</v>
      </c>
      <c r="Z10" s="12"/>
    </row>
    <row r="11" spans="1:26" ht="15.95" customHeight="1" x14ac:dyDescent="0.25">
      <c r="A11" s="79">
        <v>6</v>
      </c>
      <c r="B11" s="28" t="s">
        <v>11</v>
      </c>
      <c r="C11" s="89">
        <v>420</v>
      </c>
      <c r="D11" s="61">
        <f>'CPDCL Q4 trueup'!D11</f>
        <v>0.2334</v>
      </c>
      <c r="E11" s="78">
        <f>27.76+27.76</f>
        <v>55.52</v>
      </c>
      <c r="F11" s="78">
        <v>20.593978979999999</v>
      </c>
      <c r="G11" s="74">
        <f t="shared" si="0"/>
        <v>-34.926021020000007</v>
      </c>
      <c r="H11" s="78">
        <v>50.216666666666669</v>
      </c>
      <c r="I11" s="71">
        <v>50.219900000000003</v>
      </c>
      <c r="J11" s="74">
        <f t="shared" si="1"/>
        <v>3.2333333333340875E-3</v>
      </c>
      <c r="K11" s="78">
        <f>E11*3.86</f>
        <v>214.30719999999999</v>
      </c>
      <c r="L11" s="71">
        <v>79.449836369399989</v>
      </c>
      <c r="M11" s="74">
        <f t="shared" si="2"/>
        <v>-134.85736363059999</v>
      </c>
      <c r="N11" s="71">
        <v>0</v>
      </c>
      <c r="O11" s="71">
        <v>0</v>
      </c>
      <c r="P11" s="74">
        <f t="shared" si="3"/>
        <v>0</v>
      </c>
      <c r="Q11" s="71">
        <v>0</v>
      </c>
      <c r="R11" s="71">
        <v>0</v>
      </c>
      <c r="S11" s="74">
        <f t="shared" si="4"/>
        <v>0</v>
      </c>
      <c r="T11" s="71">
        <v>0</v>
      </c>
      <c r="U11" s="71">
        <v>0</v>
      </c>
      <c r="V11" s="74">
        <f t="shared" si="5"/>
        <v>0</v>
      </c>
      <c r="W11" s="74">
        <f>H11+K11+N11+Q11+T11</f>
        <v>264.52386666666666</v>
      </c>
      <c r="X11" s="74">
        <f t="shared" si="6"/>
        <v>129.6697363694</v>
      </c>
      <c r="Y11" s="74">
        <f t="shared" si="7"/>
        <v>-134.85413029726666</v>
      </c>
      <c r="Z11" s="12"/>
    </row>
    <row r="12" spans="1:26" ht="15.95" customHeight="1" x14ac:dyDescent="0.25">
      <c r="A12" s="79">
        <v>7</v>
      </c>
      <c r="B12" s="28" t="s">
        <v>12</v>
      </c>
      <c r="C12" s="89">
        <v>210</v>
      </c>
      <c r="D12" s="61">
        <f>'CPDCL Q4 trueup'!D12</f>
        <v>0.2334</v>
      </c>
      <c r="E12" s="78">
        <v>27.76</v>
      </c>
      <c r="F12" s="78">
        <v>21.624790079999997</v>
      </c>
      <c r="G12" s="74">
        <f t="shared" si="0"/>
        <v>-6.1352099200000048</v>
      </c>
      <c r="H12" s="78">
        <v>32.908333333333331</v>
      </c>
      <c r="I12" s="71">
        <v>32.90551</v>
      </c>
      <c r="J12" s="74">
        <f t="shared" si="1"/>
        <v>-2.8233333333318456E-3</v>
      </c>
      <c r="K12" s="78">
        <f>E12*3.86</f>
        <v>107.1536</v>
      </c>
      <c r="L12" s="71">
        <v>83.426618768400004</v>
      </c>
      <c r="M12" s="74">
        <f t="shared" si="2"/>
        <v>-23.726981231599993</v>
      </c>
      <c r="N12" s="71">
        <v>0</v>
      </c>
      <c r="O12" s="71">
        <v>0</v>
      </c>
      <c r="P12" s="74">
        <f t="shared" si="3"/>
        <v>0</v>
      </c>
      <c r="Q12" s="71">
        <v>0</v>
      </c>
      <c r="R12" s="71">
        <v>0</v>
      </c>
      <c r="S12" s="74">
        <f t="shared" si="4"/>
        <v>0</v>
      </c>
      <c r="T12" s="71">
        <v>0</v>
      </c>
      <c r="U12" s="71">
        <v>0</v>
      </c>
      <c r="V12" s="74">
        <f t="shared" si="5"/>
        <v>0</v>
      </c>
      <c r="W12" s="74">
        <f>H12+K12+N12+Q12+T12</f>
        <v>140.06193333333334</v>
      </c>
      <c r="X12" s="74">
        <f t="shared" si="6"/>
        <v>116.3321287684</v>
      </c>
      <c r="Y12" s="74">
        <f t="shared" si="7"/>
        <v>-23.729804564933346</v>
      </c>
      <c r="Z12" s="12"/>
    </row>
    <row r="13" spans="1:26" ht="15.95" customHeight="1" x14ac:dyDescent="0.25">
      <c r="A13" s="79">
        <v>8</v>
      </c>
      <c r="B13" s="28" t="s">
        <v>13</v>
      </c>
      <c r="C13" s="89">
        <v>600</v>
      </c>
      <c r="D13" s="61">
        <f>'CPDCL Q4 trueup'!D13</f>
        <v>0.2334</v>
      </c>
      <c r="E13" s="78">
        <v>89.26</v>
      </c>
      <c r="F13" s="71">
        <v>60.350237999999997</v>
      </c>
      <c r="G13" s="74">
        <f t="shared" si="0"/>
        <v>-28.909762000000008</v>
      </c>
      <c r="H13" s="71">
        <v>149.375</v>
      </c>
      <c r="I13" s="71">
        <v>149.37405507779999</v>
      </c>
      <c r="J13" s="74">
        <f t="shared" si="1"/>
        <v>-9.4492220000574889E-4</v>
      </c>
      <c r="K13" s="71">
        <f>E13*3.66</f>
        <v>326.69160000000005</v>
      </c>
      <c r="L13" s="71">
        <v>220.71213863220001</v>
      </c>
      <c r="M13" s="74">
        <f t="shared" si="2"/>
        <v>-105.97946136780004</v>
      </c>
      <c r="N13" s="71">
        <v>0</v>
      </c>
      <c r="O13" s="71">
        <v>0</v>
      </c>
      <c r="P13" s="74">
        <f t="shared" si="3"/>
        <v>0</v>
      </c>
      <c r="Q13" s="71">
        <v>0</v>
      </c>
      <c r="R13" s="71">
        <v>0</v>
      </c>
      <c r="S13" s="74">
        <f t="shared" si="4"/>
        <v>0</v>
      </c>
      <c r="T13" s="71">
        <v>0</v>
      </c>
      <c r="U13" s="71">
        <v>0</v>
      </c>
      <c r="V13" s="74">
        <f t="shared" si="5"/>
        <v>0</v>
      </c>
      <c r="W13" s="74">
        <f>H13+K13+N13+Q13+T13</f>
        <v>476.06660000000005</v>
      </c>
      <c r="X13" s="74">
        <f t="shared" si="6"/>
        <v>370.08619370999997</v>
      </c>
      <c r="Y13" s="74">
        <f t="shared" si="7"/>
        <v>-105.98040629000008</v>
      </c>
      <c r="Z13" s="12"/>
    </row>
    <row r="14" spans="1:26" s="37" customFormat="1" ht="15.95" customHeight="1" x14ac:dyDescent="0.25">
      <c r="A14" s="31"/>
      <c r="B14" s="30" t="s">
        <v>33</v>
      </c>
      <c r="C14" s="90">
        <f>SUM(C6:C13)</f>
        <v>3410</v>
      </c>
      <c r="D14" s="32"/>
      <c r="E14" s="32">
        <f t="shared" ref="E14:Y14" si="8">SUM(E6:E13)</f>
        <v>429.19999999999993</v>
      </c>
      <c r="F14" s="32">
        <f t="shared" si="8"/>
        <v>322.31837466000002</v>
      </c>
      <c r="G14" s="32">
        <f t="shared" si="8"/>
        <v>-106.88162534000003</v>
      </c>
      <c r="H14" s="32">
        <f t="shared" si="8"/>
        <v>474.67833333333328</v>
      </c>
      <c r="I14" s="32">
        <f t="shared" si="8"/>
        <v>474.67530507779998</v>
      </c>
      <c r="J14" s="32">
        <f t="shared" si="8"/>
        <v>-3.0282555333371874E-3</v>
      </c>
      <c r="K14" s="32">
        <f t="shared" si="8"/>
        <v>1527.6970000000003</v>
      </c>
      <c r="L14" s="32">
        <f t="shared" si="8"/>
        <v>1127.2505221836002</v>
      </c>
      <c r="M14" s="32">
        <f t="shared" si="8"/>
        <v>-400.44647781640003</v>
      </c>
      <c r="N14" s="32">
        <f t="shared" si="8"/>
        <v>0</v>
      </c>
      <c r="O14" s="32">
        <f t="shared" si="8"/>
        <v>0</v>
      </c>
      <c r="P14" s="32">
        <f t="shared" si="8"/>
        <v>0</v>
      </c>
      <c r="Q14" s="32">
        <f t="shared" si="8"/>
        <v>0</v>
      </c>
      <c r="R14" s="32">
        <f t="shared" si="8"/>
        <v>0</v>
      </c>
      <c r="S14" s="32">
        <f t="shared" si="8"/>
        <v>0</v>
      </c>
      <c r="T14" s="32">
        <f t="shared" si="8"/>
        <v>0</v>
      </c>
      <c r="U14" s="32">
        <f t="shared" si="8"/>
        <v>0</v>
      </c>
      <c r="V14" s="32">
        <f t="shared" si="8"/>
        <v>0</v>
      </c>
      <c r="W14" s="32">
        <f t="shared" si="8"/>
        <v>2002.3753333333334</v>
      </c>
      <c r="X14" s="32">
        <f t="shared" si="8"/>
        <v>1601.9258272614002</v>
      </c>
      <c r="Y14" s="32">
        <f t="shared" si="8"/>
        <v>-400.44950607193329</v>
      </c>
      <c r="Z14" s="33"/>
    </row>
    <row r="15" spans="1:26" ht="15.95" customHeight="1" x14ac:dyDescent="0.25">
      <c r="A15" s="79">
        <v>9</v>
      </c>
      <c r="B15" s="28" t="s">
        <v>14</v>
      </c>
      <c r="C15" s="89">
        <v>770</v>
      </c>
      <c r="D15" s="61">
        <f>'CPDCL Q4 trueup'!D15</f>
        <v>0.2334</v>
      </c>
      <c r="E15" s="78">
        <v>10.210000000000001</v>
      </c>
      <c r="F15" s="78">
        <v>30.268782419999997</v>
      </c>
      <c r="G15" s="74">
        <f t="shared" ref="G15:G61" si="9">F15-E15</f>
        <v>20.058782419999996</v>
      </c>
      <c r="H15" s="78">
        <v>43.44166666666667</v>
      </c>
      <c r="I15" s="71">
        <v>43.443519999999999</v>
      </c>
      <c r="J15" s="74">
        <f t="shared" ref="J15:J61" si="10">I15-H15</f>
        <v>1.8533333333294877E-3</v>
      </c>
      <c r="K15" s="78">
        <v>0</v>
      </c>
      <c r="L15" s="78">
        <v>0</v>
      </c>
      <c r="M15" s="74">
        <f t="shared" ref="M15:M61" si="11">L15-K15</f>
        <v>0</v>
      </c>
      <c r="N15" s="71">
        <v>0</v>
      </c>
      <c r="O15" s="71">
        <v>0</v>
      </c>
      <c r="P15" s="74">
        <f t="shared" ref="P15:P20" si="12">O15-N15</f>
        <v>0</v>
      </c>
      <c r="Q15" s="71">
        <v>0</v>
      </c>
      <c r="R15" s="71">
        <v>0</v>
      </c>
      <c r="S15" s="74">
        <f t="shared" ref="S15:S20" si="13">R15-Q15</f>
        <v>0</v>
      </c>
      <c r="T15" s="71">
        <v>0</v>
      </c>
      <c r="U15" s="71">
        <v>0</v>
      </c>
      <c r="V15" s="74">
        <f t="shared" ref="V15:V20" si="14">U15-T15</f>
        <v>0</v>
      </c>
      <c r="W15" s="74">
        <f t="shared" ref="W15:X20" si="15">H15+K15+N15+Q15+T15</f>
        <v>43.44166666666667</v>
      </c>
      <c r="X15" s="74">
        <f t="shared" si="15"/>
        <v>43.443519999999999</v>
      </c>
      <c r="Y15" s="74">
        <f t="shared" ref="Y15:Y61" si="16">X15-W15</f>
        <v>1.8533333333294877E-3</v>
      </c>
      <c r="Z15" s="12"/>
    </row>
    <row r="16" spans="1:26" ht="15.95" customHeight="1" x14ac:dyDescent="0.25">
      <c r="A16" s="79">
        <v>10</v>
      </c>
      <c r="B16" s="28" t="s">
        <v>15</v>
      </c>
      <c r="C16" s="89">
        <v>90</v>
      </c>
      <c r="D16" s="61">
        <f>'CPDCL Q4 trueup'!D16</f>
        <v>0.2334</v>
      </c>
      <c r="E16" s="78">
        <v>2.4700000000000002</v>
      </c>
      <c r="F16" s="78">
        <v>8.2404577440000004</v>
      </c>
      <c r="G16" s="74">
        <f t="shared" si="9"/>
        <v>5.7704577439999998</v>
      </c>
      <c r="H16" s="78">
        <v>4.9833333333333334</v>
      </c>
      <c r="I16" s="71">
        <v>4.9830900000000007</v>
      </c>
      <c r="J16" s="74">
        <f t="shared" si="10"/>
        <v>-2.4333333333270701E-4</v>
      </c>
      <c r="K16" s="78">
        <v>0</v>
      </c>
      <c r="L16" s="78">
        <v>0</v>
      </c>
      <c r="M16" s="74">
        <f t="shared" si="11"/>
        <v>0</v>
      </c>
      <c r="N16" s="71">
        <v>0</v>
      </c>
      <c r="O16" s="71">
        <v>0</v>
      </c>
      <c r="P16" s="74">
        <f t="shared" si="12"/>
        <v>0</v>
      </c>
      <c r="Q16" s="71">
        <v>0</v>
      </c>
      <c r="R16" s="71">
        <v>0</v>
      </c>
      <c r="S16" s="74">
        <f t="shared" si="13"/>
        <v>0</v>
      </c>
      <c r="T16" s="71">
        <v>0</v>
      </c>
      <c r="U16" s="71">
        <v>0</v>
      </c>
      <c r="V16" s="74">
        <f t="shared" si="14"/>
        <v>0</v>
      </c>
      <c r="W16" s="74">
        <f t="shared" si="15"/>
        <v>4.9833333333333334</v>
      </c>
      <c r="X16" s="74">
        <f t="shared" si="15"/>
        <v>4.9830900000000007</v>
      </c>
      <c r="Y16" s="74">
        <f t="shared" si="16"/>
        <v>-2.4333333333270701E-4</v>
      </c>
      <c r="Z16" s="12"/>
    </row>
    <row r="17" spans="1:26" ht="15.95" customHeight="1" x14ac:dyDescent="0.25">
      <c r="A17" s="79">
        <v>11</v>
      </c>
      <c r="B17" s="28" t="s">
        <v>16</v>
      </c>
      <c r="C17" s="89">
        <v>50</v>
      </c>
      <c r="D17" s="61">
        <f>'CPDCL Q4 trueup'!D17</f>
        <v>0.2334</v>
      </c>
      <c r="E17" s="78">
        <v>2.08</v>
      </c>
      <c r="F17" s="71">
        <v>0.36760500000000002</v>
      </c>
      <c r="G17" s="74">
        <f t="shared" si="9"/>
        <v>-1.7123950000000001</v>
      </c>
      <c r="H17" s="71">
        <v>9.875</v>
      </c>
      <c r="I17" s="71">
        <v>9.8728199999999973</v>
      </c>
      <c r="J17" s="74">
        <f t="shared" si="10"/>
        <v>-2.1800000000027353E-3</v>
      </c>
      <c r="K17" s="71">
        <v>0</v>
      </c>
      <c r="L17" s="78">
        <v>0</v>
      </c>
      <c r="M17" s="74">
        <f t="shared" si="11"/>
        <v>0</v>
      </c>
      <c r="N17" s="71">
        <v>0</v>
      </c>
      <c r="O17" s="71">
        <v>0</v>
      </c>
      <c r="P17" s="74">
        <f t="shared" si="12"/>
        <v>0</v>
      </c>
      <c r="Q17" s="71">
        <v>0</v>
      </c>
      <c r="R17" s="71">
        <v>0</v>
      </c>
      <c r="S17" s="74">
        <f t="shared" si="13"/>
        <v>0</v>
      </c>
      <c r="T17" s="71">
        <v>0</v>
      </c>
      <c r="U17" s="71">
        <v>0</v>
      </c>
      <c r="V17" s="74">
        <f t="shared" si="14"/>
        <v>0</v>
      </c>
      <c r="W17" s="74">
        <f t="shared" si="15"/>
        <v>9.875</v>
      </c>
      <c r="X17" s="74">
        <f t="shared" si="15"/>
        <v>9.8728199999999973</v>
      </c>
      <c r="Y17" s="74">
        <f t="shared" si="16"/>
        <v>-2.1800000000027353E-3</v>
      </c>
      <c r="Z17" s="12"/>
    </row>
    <row r="18" spans="1:26" ht="15.95" customHeight="1" x14ac:dyDescent="0.25">
      <c r="A18" s="79">
        <v>12</v>
      </c>
      <c r="B18" s="28" t="s">
        <v>34</v>
      </c>
      <c r="C18" s="89">
        <v>725</v>
      </c>
      <c r="D18" s="61">
        <f>'CPDCL Q4 trueup'!D18</f>
        <v>0.2334</v>
      </c>
      <c r="E18" s="78">
        <f>11.84+24.83+2.43</f>
        <v>39.1</v>
      </c>
      <c r="F18" s="71">
        <v>3.4875785663999999</v>
      </c>
      <c r="G18" s="74">
        <f t="shared" si="9"/>
        <v>-35.612421433600005</v>
      </c>
      <c r="H18" s="71">
        <v>46.224999999999994</v>
      </c>
      <c r="I18" s="71">
        <v>46.222924999999989</v>
      </c>
      <c r="J18" s="74">
        <f t="shared" si="10"/>
        <v>-2.075000000004934E-3</v>
      </c>
      <c r="K18" s="71">
        <v>0</v>
      </c>
      <c r="L18" s="78">
        <v>0</v>
      </c>
      <c r="M18" s="74">
        <f t="shared" si="11"/>
        <v>0</v>
      </c>
      <c r="N18" s="71">
        <v>0</v>
      </c>
      <c r="O18" s="71">
        <v>0</v>
      </c>
      <c r="P18" s="74">
        <f t="shared" si="12"/>
        <v>0</v>
      </c>
      <c r="Q18" s="71">
        <v>0</v>
      </c>
      <c r="R18" s="71">
        <v>0</v>
      </c>
      <c r="S18" s="74">
        <f t="shared" si="13"/>
        <v>0</v>
      </c>
      <c r="T18" s="71">
        <v>0</v>
      </c>
      <c r="U18" s="71">
        <v>0</v>
      </c>
      <c r="V18" s="74">
        <f t="shared" si="14"/>
        <v>0</v>
      </c>
      <c r="W18" s="74">
        <f t="shared" si="15"/>
        <v>46.224999999999994</v>
      </c>
      <c r="X18" s="74">
        <f t="shared" si="15"/>
        <v>46.222924999999989</v>
      </c>
      <c r="Y18" s="74">
        <f t="shared" si="16"/>
        <v>-2.075000000004934E-3</v>
      </c>
      <c r="Z18" s="12"/>
    </row>
    <row r="19" spans="1:26" ht="15.95" customHeight="1" x14ac:dyDescent="0.25">
      <c r="A19" s="79">
        <v>13</v>
      </c>
      <c r="B19" s="28" t="s">
        <v>17</v>
      </c>
      <c r="C19" s="89">
        <v>20</v>
      </c>
      <c r="D19" s="61">
        <f>'CPDCL Q4 trueup'!D19</f>
        <v>0.2334</v>
      </c>
      <c r="E19" s="78">
        <v>0.08</v>
      </c>
      <c r="F19" s="71">
        <v>-7.5000756000000003E-3</v>
      </c>
      <c r="G19" s="74">
        <f t="shared" si="9"/>
        <v>-8.7500075600000005E-2</v>
      </c>
      <c r="H19" s="71">
        <v>2.5833333333333335</v>
      </c>
      <c r="I19" s="71">
        <v>2.5829599999999999</v>
      </c>
      <c r="J19" s="74">
        <f t="shared" si="10"/>
        <v>-3.7333333333355867E-4</v>
      </c>
      <c r="K19" s="71">
        <v>0</v>
      </c>
      <c r="L19" s="78">
        <v>0</v>
      </c>
      <c r="M19" s="74">
        <f t="shared" si="11"/>
        <v>0</v>
      </c>
      <c r="N19" s="71">
        <v>0</v>
      </c>
      <c r="O19" s="71">
        <v>0</v>
      </c>
      <c r="P19" s="74">
        <f t="shared" si="12"/>
        <v>0</v>
      </c>
      <c r="Q19" s="71">
        <v>0</v>
      </c>
      <c r="R19" s="71">
        <v>0</v>
      </c>
      <c r="S19" s="74">
        <f t="shared" si="13"/>
        <v>0</v>
      </c>
      <c r="T19" s="71">
        <v>0</v>
      </c>
      <c r="U19" s="71">
        <v>0</v>
      </c>
      <c r="V19" s="74">
        <f t="shared" si="14"/>
        <v>0</v>
      </c>
      <c r="W19" s="74">
        <f t="shared" si="15"/>
        <v>2.5833333333333335</v>
      </c>
      <c r="X19" s="74">
        <f t="shared" si="15"/>
        <v>2.5829599999999999</v>
      </c>
      <c r="Y19" s="74">
        <f t="shared" si="16"/>
        <v>-3.7333333333355867E-4</v>
      </c>
      <c r="Z19" s="12"/>
    </row>
    <row r="20" spans="1:26" ht="15.95" customHeight="1" x14ac:dyDescent="0.25">
      <c r="A20" s="79">
        <v>14</v>
      </c>
      <c r="B20" s="28" t="s">
        <v>18</v>
      </c>
      <c r="C20" s="89">
        <v>1</v>
      </c>
      <c r="D20" s="61">
        <f>'CPDCL Q4 trueup'!D20</f>
        <v>0.2334</v>
      </c>
      <c r="E20" s="78">
        <v>0.09</v>
      </c>
      <c r="F20" s="71">
        <v>8.2016759999999994E-2</v>
      </c>
      <c r="G20" s="74">
        <f t="shared" si="9"/>
        <v>-7.9832400000000026E-3</v>
      </c>
      <c r="H20" s="71">
        <v>0.34166666666666667</v>
      </c>
      <c r="I20" s="71">
        <v>0.34232000000000001</v>
      </c>
      <c r="J20" s="74">
        <f t="shared" si="10"/>
        <v>6.5333333333333909E-4</v>
      </c>
      <c r="K20" s="71">
        <v>0</v>
      </c>
      <c r="L20" s="78">
        <v>0</v>
      </c>
      <c r="M20" s="74">
        <f t="shared" si="11"/>
        <v>0</v>
      </c>
      <c r="N20" s="71">
        <v>0</v>
      </c>
      <c r="O20" s="71">
        <v>0</v>
      </c>
      <c r="P20" s="74">
        <f t="shared" si="12"/>
        <v>0</v>
      </c>
      <c r="Q20" s="71">
        <v>0</v>
      </c>
      <c r="R20" s="71">
        <v>0</v>
      </c>
      <c r="S20" s="74">
        <f t="shared" si="13"/>
        <v>0</v>
      </c>
      <c r="T20" s="71">
        <v>0</v>
      </c>
      <c r="U20" s="71">
        <v>0</v>
      </c>
      <c r="V20" s="74">
        <f t="shared" si="14"/>
        <v>0</v>
      </c>
      <c r="W20" s="74">
        <f t="shared" si="15"/>
        <v>0.34166666666666667</v>
      </c>
      <c r="X20" s="74">
        <f t="shared" si="15"/>
        <v>0.34232000000000001</v>
      </c>
      <c r="Y20" s="74">
        <f t="shared" si="16"/>
        <v>6.5333333333333909E-4</v>
      </c>
      <c r="Z20" s="12"/>
    </row>
    <row r="21" spans="1:26" s="37" customFormat="1" ht="15.95" customHeight="1" x14ac:dyDescent="0.25">
      <c r="A21" s="31"/>
      <c r="B21" s="30" t="s">
        <v>35</v>
      </c>
      <c r="C21" s="90">
        <f>SUM(C15:C20)</f>
        <v>1656</v>
      </c>
      <c r="D21" s="32"/>
      <c r="E21" s="32">
        <f t="shared" ref="E21:Y21" si="17">SUM(E15:E20)</f>
        <v>54.03</v>
      </c>
      <c r="F21" s="32">
        <f t="shared" si="17"/>
        <v>42.438940414799994</v>
      </c>
      <c r="G21" s="32">
        <f t="shared" si="17"/>
        <v>-11.591059585200007</v>
      </c>
      <c r="H21" s="32">
        <f t="shared" si="17"/>
        <v>107.45</v>
      </c>
      <c r="I21" s="32">
        <f t="shared" si="17"/>
        <v>107.44763499999998</v>
      </c>
      <c r="J21" s="32">
        <f t="shared" si="17"/>
        <v>-2.3650000000111082E-3</v>
      </c>
      <c r="K21" s="32">
        <f t="shared" si="17"/>
        <v>0</v>
      </c>
      <c r="L21" s="32">
        <f t="shared" si="17"/>
        <v>0</v>
      </c>
      <c r="M21" s="32">
        <f t="shared" si="17"/>
        <v>0</v>
      </c>
      <c r="N21" s="32">
        <f t="shared" si="17"/>
        <v>0</v>
      </c>
      <c r="O21" s="32">
        <f t="shared" si="17"/>
        <v>0</v>
      </c>
      <c r="P21" s="32">
        <f t="shared" si="17"/>
        <v>0</v>
      </c>
      <c r="Q21" s="32">
        <f t="shared" si="17"/>
        <v>0</v>
      </c>
      <c r="R21" s="32">
        <f t="shared" si="17"/>
        <v>0</v>
      </c>
      <c r="S21" s="32">
        <f t="shared" si="17"/>
        <v>0</v>
      </c>
      <c r="T21" s="32">
        <f t="shared" si="17"/>
        <v>0</v>
      </c>
      <c r="U21" s="32">
        <f t="shared" si="17"/>
        <v>0</v>
      </c>
      <c r="V21" s="32">
        <f t="shared" si="17"/>
        <v>0</v>
      </c>
      <c r="W21" s="32">
        <f t="shared" si="17"/>
        <v>107.45</v>
      </c>
      <c r="X21" s="32">
        <f t="shared" si="17"/>
        <v>107.44763499999998</v>
      </c>
      <c r="Y21" s="32">
        <f t="shared" si="17"/>
        <v>-2.3650000000111082E-3</v>
      </c>
      <c r="Z21" s="33"/>
    </row>
    <row r="22" spans="1:26" s="4" customFormat="1" ht="25.5" x14ac:dyDescent="0.25">
      <c r="A22" s="73">
        <v>15</v>
      </c>
      <c r="B22" s="41" t="s">
        <v>109</v>
      </c>
      <c r="C22" s="88">
        <v>141.6</v>
      </c>
      <c r="D22" s="64">
        <f>'CPDCL Q4 trueup'!D22</f>
        <v>0.2334</v>
      </c>
      <c r="E22" s="71">
        <f>5.77+2.99</f>
        <v>8.76</v>
      </c>
      <c r="F22" s="71">
        <v>14.793312120000001</v>
      </c>
      <c r="G22" s="74">
        <f t="shared" si="9"/>
        <v>6.0333121200000015</v>
      </c>
      <c r="H22" s="71">
        <v>12.024999999999999</v>
      </c>
      <c r="I22" s="71">
        <v>12.025935</v>
      </c>
      <c r="J22" s="74">
        <f t="shared" si="10"/>
        <v>9.3500000000190653E-4</v>
      </c>
      <c r="K22" s="71">
        <v>0</v>
      </c>
      <c r="L22" s="71">
        <v>0</v>
      </c>
      <c r="M22" s="74">
        <f t="shared" si="11"/>
        <v>0</v>
      </c>
      <c r="N22" s="71">
        <v>0</v>
      </c>
      <c r="O22" s="71">
        <v>0</v>
      </c>
      <c r="P22" s="74">
        <f>O22-N22</f>
        <v>0</v>
      </c>
      <c r="Q22" s="71">
        <v>0</v>
      </c>
      <c r="R22" s="71">
        <v>0</v>
      </c>
      <c r="S22" s="74">
        <f>R22-Q22</f>
        <v>0</v>
      </c>
      <c r="T22" s="71">
        <v>0</v>
      </c>
      <c r="U22" s="71">
        <v>0</v>
      </c>
      <c r="V22" s="74">
        <f>U22-T22</f>
        <v>0</v>
      </c>
      <c r="W22" s="74">
        <f>H22+K22+N22+Q22+T22</f>
        <v>12.024999999999999</v>
      </c>
      <c r="X22" s="74">
        <f>I22+L22+O22+R22+U22</f>
        <v>12.025935</v>
      </c>
      <c r="Y22" s="74">
        <f t="shared" si="16"/>
        <v>9.3500000000190653E-4</v>
      </c>
      <c r="Z22" s="5"/>
    </row>
    <row r="23" spans="1:26" s="37" customFormat="1" ht="15.95" customHeight="1" x14ac:dyDescent="0.25">
      <c r="A23" s="31"/>
      <c r="B23" s="30" t="s">
        <v>36</v>
      </c>
      <c r="C23" s="32">
        <f>C22+C21+C14</f>
        <v>5207.6000000000004</v>
      </c>
      <c r="D23" s="32"/>
      <c r="E23" s="32">
        <f t="shared" ref="E23:Y23" si="18">E22+E21+E14</f>
        <v>491.98999999999995</v>
      </c>
      <c r="F23" s="32">
        <f t="shared" si="18"/>
        <v>379.55062719480003</v>
      </c>
      <c r="G23" s="32">
        <f t="shared" si="18"/>
        <v>-112.43937280520004</v>
      </c>
      <c r="H23" s="32">
        <f t="shared" si="18"/>
        <v>594.15333333333331</v>
      </c>
      <c r="I23" s="32">
        <f t="shared" si="18"/>
        <v>594.14887507779997</v>
      </c>
      <c r="J23" s="32">
        <f t="shared" si="18"/>
        <v>-4.4582555333463891E-3</v>
      </c>
      <c r="K23" s="32">
        <f t="shared" si="18"/>
        <v>1527.6970000000003</v>
      </c>
      <c r="L23" s="32">
        <f t="shared" si="18"/>
        <v>1127.2505221836002</v>
      </c>
      <c r="M23" s="32">
        <f t="shared" si="18"/>
        <v>-400.44647781640003</v>
      </c>
      <c r="N23" s="32">
        <f t="shared" si="18"/>
        <v>0</v>
      </c>
      <c r="O23" s="32">
        <f t="shared" si="18"/>
        <v>0</v>
      </c>
      <c r="P23" s="32">
        <f t="shared" si="18"/>
        <v>0</v>
      </c>
      <c r="Q23" s="32">
        <f t="shared" si="18"/>
        <v>0</v>
      </c>
      <c r="R23" s="32">
        <f t="shared" si="18"/>
        <v>0</v>
      </c>
      <c r="S23" s="32">
        <f t="shared" si="18"/>
        <v>0</v>
      </c>
      <c r="T23" s="32">
        <f t="shared" si="18"/>
        <v>0</v>
      </c>
      <c r="U23" s="32">
        <f t="shared" si="18"/>
        <v>0</v>
      </c>
      <c r="V23" s="32">
        <f t="shared" si="18"/>
        <v>0</v>
      </c>
      <c r="W23" s="32">
        <f t="shared" si="18"/>
        <v>2121.8503333333333</v>
      </c>
      <c r="X23" s="32">
        <f t="shared" si="18"/>
        <v>1721.3993972614001</v>
      </c>
      <c r="Y23" s="32">
        <f t="shared" si="18"/>
        <v>-400.45093607193331</v>
      </c>
      <c r="Z23" s="33"/>
    </row>
    <row r="24" spans="1:26" ht="15.95" customHeight="1" x14ac:dyDescent="0.25">
      <c r="A24" s="79">
        <v>16</v>
      </c>
      <c r="B24" s="29" t="s">
        <v>37</v>
      </c>
      <c r="C24" s="89">
        <v>2100</v>
      </c>
      <c r="D24" s="61">
        <f>'CPDCL Q4 trueup'!D24</f>
        <v>3.2000000000000001E-2</v>
      </c>
      <c r="E24" s="78">
        <v>38.03</v>
      </c>
      <c r="F24" s="78">
        <v>43.917234000000001</v>
      </c>
      <c r="G24" s="74">
        <f t="shared" si="9"/>
        <v>5.8872339999999994</v>
      </c>
      <c r="H24" s="78">
        <v>26.308333333333334</v>
      </c>
      <c r="I24" s="71">
        <v>30.998401000000001</v>
      </c>
      <c r="J24" s="74">
        <f t="shared" si="10"/>
        <v>4.6900676666666676</v>
      </c>
      <c r="K24" s="78">
        <f>E24*2.44</f>
        <v>92.793199999999999</v>
      </c>
      <c r="L24" s="71">
        <v>126.481634</v>
      </c>
      <c r="M24" s="74">
        <f t="shared" si="11"/>
        <v>33.688434000000001</v>
      </c>
      <c r="N24" s="71">
        <v>0</v>
      </c>
      <c r="O24" s="71">
        <v>0</v>
      </c>
      <c r="P24" s="74">
        <f t="shared" ref="P24:P38" si="19">O24-N24</f>
        <v>0</v>
      </c>
      <c r="Q24" s="71">
        <v>0</v>
      </c>
      <c r="R24" s="71">
        <v>0</v>
      </c>
      <c r="S24" s="74">
        <f t="shared" ref="S24:S38" si="20">R24-Q24</f>
        <v>0</v>
      </c>
      <c r="T24" s="71">
        <v>0</v>
      </c>
      <c r="U24" s="71">
        <v>0</v>
      </c>
      <c r="V24" s="74">
        <f t="shared" ref="V24:V38" si="21">U24-T24</f>
        <v>0</v>
      </c>
      <c r="W24" s="74">
        <f t="shared" ref="W24:X38" si="22">H24+K24+N24+Q24+T24</f>
        <v>119.10153333333334</v>
      </c>
      <c r="X24" s="74">
        <f t="shared" si="22"/>
        <v>157.48003499999999</v>
      </c>
      <c r="Y24" s="74">
        <f t="shared" si="16"/>
        <v>38.378501666666651</v>
      </c>
      <c r="Z24" s="12"/>
    </row>
    <row r="25" spans="1:26" ht="15.95" customHeight="1" x14ac:dyDescent="0.25">
      <c r="A25" s="79">
        <v>17</v>
      </c>
      <c r="B25" s="29" t="s">
        <v>38</v>
      </c>
      <c r="C25" s="89">
        <v>1000</v>
      </c>
      <c r="D25" s="61">
        <f>'CPDCL Q4 trueup'!D25</f>
        <v>0.1076</v>
      </c>
      <c r="E25" s="78">
        <v>67.58</v>
      </c>
      <c r="F25" s="78">
        <v>72.786388000000002</v>
      </c>
      <c r="G25" s="74">
        <f t="shared" si="9"/>
        <v>5.206388000000004</v>
      </c>
      <c r="H25" s="78">
        <v>75.341666666666669</v>
      </c>
      <c r="I25" s="71">
        <v>62.257004000000002</v>
      </c>
      <c r="J25" s="74">
        <f t="shared" si="10"/>
        <v>-13.084662666666667</v>
      </c>
      <c r="K25" s="78">
        <f>E25*3.15</f>
        <v>212.87699999999998</v>
      </c>
      <c r="L25" s="71">
        <v>215.839023</v>
      </c>
      <c r="M25" s="74">
        <f t="shared" si="11"/>
        <v>2.9620230000000163</v>
      </c>
      <c r="N25" s="71">
        <v>0</v>
      </c>
      <c r="O25" s="71">
        <v>0</v>
      </c>
      <c r="P25" s="74">
        <f t="shared" si="19"/>
        <v>0</v>
      </c>
      <c r="Q25" s="71">
        <v>0</v>
      </c>
      <c r="R25" s="71">
        <v>0</v>
      </c>
      <c r="S25" s="74">
        <f t="shared" si="20"/>
        <v>0</v>
      </c>
      <c r="T25" s="71">
        <v>0</v>
      </c>
      <c r="U25" s="71">
        <v>0</v>
      </c>
      <c r="V25" s="74">
        <f t="shared" si="21"/>
        <v>0</v>
      </c>
      <c r="W25" s="74">
        <f t="shared" si="22"/>
        <v>288.21866666666665</v>
      </c>
      <c r="X25" s="74">
        <f t="shared" si="22"/>
        <v>278.09602699999999</v>
      </c>
      <c r="Y25" s="74">
        <f t="shared" si="16"/>
        <v>-10.122639666666657</v>
      </c>
      <c r="Z25" s="12"/>
    </row>
    <row r="26" spans="1:26" ht="15.95" customHeight="1" x14ac:dyDescent="0.25">
      <c r="A26" s="79">
        <v>18</v>
      </c>
      <c r="B26" s="29" t="s">
        <v>39</v>
      </c>
      <c r="C26" s="89">
        <v>1000</v>
      </c>
      <c r="D26" s="61">
        <f>'CPDCL Q4 trueup'!D26</f>
        <v>4.9000000000000002E-2</v>
      </c>
      <c r="E26" s="78">
        <v>32.22</v>
      </c>
      <c r="F26" s="78">
        <v>32.818565</v>
      </c>
      <c r="G26" s="74">
        <f t="shared" si="9"/>
        <v>0.59856500000000068</v>
      </c>
      <c r="H26" s="78">
        <v>41.716666666666669</v>
      </c>
      <c r="I26" s="71">
        <v>-5.2546309999999998</v>
      </c>
      <c r="J26" s="74">
        <f t="shared" si="10"/>
        <v>-46.971297666666672</v>
      </c>
      <c r="K26" s="78">
        <f>E26*3.09</f>
        <v>99.559799999999996</v>
      </c>
      <c r="L26" s="71">
        <v>102.27920399999999</v>
      </c>
      <c r="M26" s="74">
        <f t="shared" si="11"/>
        <v>2.7194039999999973</v>
      </c>
      <c r="N26" s="71">
        <v>0</v>
      </c>
      <c r="O26" s="71">
        <v>0</v>
      </c>
      <c r="P26" s="74">
        <f t="shared" si="19"/>
        <v>0</v>
      </c>
      <c r="Q26" s="71">
        <v>0</v>
      </c>
      <c r="R26" s="71">
        <v>0</v>
      </c>
      <c r="S26" s="74">
        <f t="shared" si="20"/>
        <v>0</v>
      </c>
      <c r="T26" s="71">
        <v>0</v>
      </c>
      <c r="U26" s="71">
        <v>0</v>
      </c>
      <c r="V26" s="74">
        <f t="shared" si="21"/>
        <v>0</v>
      </c>
      <c r="W26" s="74">
        <f t="shared" si="22"/>
        <v>141.27646666666666</v>
      </c>
      <c r="X26" s="74">
        <f t="shared" si="22"/>
        <v>97.02457299999999</v>
      </c>
      <c r="Y26" s="74">
        <f t="shared" si="16"/>
        <v>-44.251893666666675</v>
      </c>
      <c r="Z26" s="12"/>
    </row>
    <row r="27" spans="1:26" ht="15.95" customHeight="1" x14ac:dyDescent="0.25">
      <c r="A27" s="79">
        <v>19</v>
      </c>
      <c r="B27" s="29" t="s">
        <v>40</v>
      </c>
      <c r="C27" s="89">
        <v>2000</v>
      </c>
      <c r="D27" s="61">
        <f>'CPDCL Q4 trueup'!D27</f>
        <v>2.1000000000000001E-2</v>
      </c>
      <c r="E27" s="78">
        <v>24.14</v>
      </c>
      <c r="F27" s="78">
        <v>27.925651999999999</v>
      </c>
      <c r="G27" s="74">
        <f t="shared" si="9"/>
        <v>3.7856519999999989</v>
      </c>
      <c r="H27" s="78">
        <v>17.941666666666666</v>
      </c>
      <c r="I27" s="71">
        <v>18.598659999999999</v>
      </c>
      <c r="J27" s="74">
        <f t="shared" si="10"/>
        <v>0.65699333333333243</v>
      </c>
      <c r="K27" s="78">
        <f>E27*1.98</f>
        <v>47.797200000000004</v>
      </c>
      <c r="L27" s="71">
        <v>52.242716999999999</v>
      </c>
      <c r="M27" s="74">
        <f t="shared" si="11"/>
        <v>4.4455169999999953</v>
      </c>
      <c r="N27" s="71">
        <v>0</v>
      </c>
      <c r="O27" s="71">
        <v>0</v>
      </c>
      <c r="P27" s="74">
        <f t="shared" si="19"/>
        <v>0</v>
      </c>
      <c r="Q27" s="71">
        <v>0</v>
      </c>
      <c r="R27" s="71">
        <v>0</v>
      </c>
      <c r="S27" s="74">
        <f t="shared" si="20"/>
        <v>0</v>
      </c>
      <c r="T27" s="71">
        <v>0</v>
      </c>
      <c r="U27" s="71">
        <v>0</v>
      </c>
      <c r="V27" s="74">
        <f t="shared" si="21"/>
        <v>0</v>
      </c>
      <c r="W27" s="74">
        <f t="shared" si="22"/>
        <v>65.738866666666667</v>
      </c>
      <c r="X27" s="74">
        <f t="shared" si="22"/>
        <v>70.841376999999994</v>
      </c>
      <c r="Y27" s="74">
        <f t="shared" si="16"/>
        <v>5.1025103333333277</v>
      </c>
      <c r="Z27" s="12"/>
    </row>
    <row r="28" spans="1:26" ht="15.95" customHeight="1" x14ac:dyDescent="0.25">
      <c r="A28" s="79">
        <v>20</v>
      </c>
      <c r="B28" s="29" t="s">
        <v>41</v>
      </c>
      <c r="C28" s="89">
        <v>500</v>
      </c>
      <c r="D28" s="61">
        <f>'CPDCL Q4 trueup'!D28</f>
        <v>3.3700000000000001E-2</v>
      </c>
      <c r="E28" s="78">
        <v>10.56</v>
      </c>
      <c r="F28" s="78">
        <v>11.875097</v>
      </c>
      <c r="G28" s="74">
        <f t="shared" si="9"/>
        <v>1.3150969999999997</v>
      </c>
      <c r="H28" s="78">
        <v>6.6749999999999998</v>
      </c>
      <c r="I28" s="71">
        <v>9.1698909999999998</v>
      </c>
      <c r="J28" s="74">
        <f t="shared" si="10"/>
        <v>2.494891</v>
      </c>
      <c r="K28" s="78">
        <f>E28*2.4</f>
        <v>25.344000000000001</v>
      </c>
      <c r="L28" s="71">
        <v>33.535274000000001</v>
      </c>
      <c r="M28" s="74">
        <f t="shared" si="11"/>
        <v>8.1912739999999999</v>
      </c>
      <c r="N28" s="71">
        <v>0</v>
      </c>
      <c r="O28" s="71">
        <v>0</v>
      </c>
      <c r="P28" s="74">
        <f t="shared" si="19"/>
        <v>0</v>
      </c>
      <c r="Q28" s="71">
        <v>0</v>
      </c>
      <c r="R28" s="71">
        <v>0</v>
      </c>
      <c r="S28" s="74">
        <f t="shared" si="20"/>
        <v>0</v>
      </c>
      <c r="T28" s="71">
        <v>0</v>
      </c>
      <c r="U28" s="71">
        <v>0</v>
      </c>
      <c r="V28" s="74">
        <f t="shared" si="21"/>
        <v>0</v>
      </c>
      <c r="W28" s="74">
        <f t="shared" si="22"/>
        <v>32.018999999999998</v>
      </c>
      <c r="X28" s="74">
        <f t="shared" si="22"/>
        <v>42.705165000000001</v>
      </c>
      <c r="Y28" s="74">
        <f t="shared" si="16"/>
        <v>10.686165000000003</v>
      </c>
      <c r="Z28" s="12"/>
    </row>
    <row r="29" spans="1:26" ht="15.95" customHeight="1" x14ac:dyDescent="0.25">
      <c r="A29" s="79">
        <v>21</v>
      </c>
      <c r="B29" s="29" t="s">
        <v>42</v>
      </c>
      <c r="C29" s="89">
        <v>2400</v>
      </c>
      <c r="D29" s="61">
        <f>'CPDCL Q4 trueup'!D29</f>
        <v>2.3800000000000002E-2</v>
      </c>
      <c r="E29" s="78">
        <v>33.119999999999997</v>
      </c>
      <c r="F29" s="78">
        <v>30.059947999999999</v>
      </c>
      <c r="G29" s="74">
        <f t="shared" si="9"/>
        <v>-3.0600519999999989</v>
      </c>
      <c r="H29" s="78">
        <v>44.258333333333333</v>
      </c>
      <c r="I29" s="71">
        <v>64.992707999999993</v>
      </c>
      <c r="J29" s="74">
        <f t="shared" si="10"/>
        <v>20.73437466666666</v>
      </c>
      <c r="K29" s="78">
        <f>E29*3.49</f>
        <v>115.58879999999999</v>
      </c>
      <c r="L29" s="71">
        <v>135.45887999999999</v>
      </c>
      <c r="M29" s="74">
        <f t="shared" si="11"/>
        <v>19.870080000000002</v>
      </c>
      <c r="N29" s="71">
        <v>0</v>
      </c>
      <c r="O29" s="71">
        <v>0</v>
      </c>
      <c r="P29" s="74">
        <f t="shared" si="19"/>
        <v>0</v>
      </c>
      <c r="Q29" s="71">
        <v>0</v>
      </c>
      <c r="R29" s="71">
        <v>0</v>
      </c>
      <c r="S29" s="74">
        <f t="shared" si="20"/>
        <v>0</v>
      </c>
      <c r="T29" s="71">
        <v>0</v>
      </c>
      <c r="U29" s="71">
        <v>0</v>
      </c>
      <c r="V29" s="74">
        <f t="shared" si="21"/>
        <v>0</v>
      </c>
      <c r="W29" s="74">
        <f t="shared" si="22"/>
        <v>159.84713333333332</v>
      </c>
      <c r="X29" s="74">
        <f t="shared" si="22"/>
        <v>200.45158799999999</v>
      </c>
      <c r="Y29" s="74">
        <f t="shared" si="16"/>
        <v>40.604454666666669</v>
      </c>
      <c r="Z29" s="12"/>
    </row>
    <row r="30" spans="1:26" ht="15.95" customHeight="1" x14ac:dyDescent="0.25">
      <c r="A30" s="79">
        <v>22</v>
      </c>
      <c r="B30" s="29" t="s">
        <v>86</v>
      </c>
      <c r="C30" s="89">
        <v>0</v>
      </c>
      <c r="D30" s="61">
        <f>'CPDCL Q4 trueup'!D30</f>
        <v>0</v>
      </c>
      <c r="E30" s="78"/>
      <c r="F30" s="78">
        <v>0</v>
      </c>
      <c r="G30" s="74">
        <f t="shared" si="9"/>
        <v>0</v>
      </c>
      <c r="H30" s="78">
        <v>0</v>
      </c>
      <c r="I30" s="71">
        <v>0</v>
      </c>
      <c r="J30" s="74">
        <f t="shared" si="10"/>
        <v>0</v>
      </c>
      <c r="K30" s="78">
        <v>0</v>
      </c>
      <c r="L30" s="71">
        <v>0</v>
      </c>
      <c r="M30" s="74">
        <f t="shared" si="11"/>
        <v>0</v>
      </c>
      <c r="N30" s="71">
        <v>0</v>
      </c>
      <c r="O30" s="71">
        <v>0</v>
      </c>
      <c r="P30" s="74">
        <f t="shared" si="19"/>
        <v>0</v>
      </c>
      <c r="Q30" s="71">
        <v>0</v>
      </c>
      <c r="R30" s="71">
        <v>0</v>
      </c>
      <c r="S30" s="74">
        <f t="shared" si="20"/>
        <v>0</v>
      </c>
      <c r="T30" s="71">
        <v>0</v>
      </c>
      <c r="U30" s="71">
        <v>0</v>
      </c>
      <c r="V30" s="74">
        <f t="shared" si="21"/>
        <v>0</v>
      </c>
      <c r="W30" s="74">
        <f t="shared" si="22"/>
        <v>0</v>
      </c>
      <c r="X30" s="74">
        <f t="shared" si="22"/>
        <v>0</v>
      </c>
      <c r="Y30" s="74">
        <f t="shared" si="16"/>
        <v>0</v>
      </c>
      <c r="Z30" s="12"/>
    </row>
    <row r="31" spans="1:26" ht="15.95" customHeight="1" x14ac:dyDescent="0.25">
      <c r="A31" s="79">
        <v>23</v>
      </c>
      <c r="B31" s="29" t="s">
        <v>43</v>
      </c>
      <c r="C31" s="89">
        <v>1500</v>
      </c>
      <c r="D31" s="61">
        <f>'CPDCL Q4 trueup'!D31</f>
        <v>1.34E-2</v>
      </c>
      <c r="E31" s="78">
        <v>14.3</v>
      </c>
      <c r="F31" s="78">
        <v>12.48226</v>
      </c>
      <c r="G31" s="74">
        <f t="shared" si="9"/>
        <v>-1.8177400000000006</v>
      </c>
      <c r="H31" s="78">
        <v>18.041666666666664</v>
      </c>
      <c r="I31" s="71">
        <v>24.058976999999999</v>
      </c>
      <c r="J31" s="74">
        <f t="shared" si="10"/>
        <v>6.0173103333333344</v>
      </c>
      <c r="K31" s="78">
        <f>E31*3.42</f>
        <v>48.905999999999999</v>
      </c>
      <c r="L31" s="71">
        <v>49.926779000000003</v>
      </c>
      <c r="M31" s="74">
        <f t="shared" si="11"/>
        <v>1.0207790000000045</v>
      </c>
      <c r="N31" s="71">
        <v>0</v>
      </c>
      <c r="O31" s="71">
        <v>0</v>
      </c>
      <c r="P31" s="74">
        <f t="shared" si="19"/>
        <v>0</v>
      </c>
      <c r="Q31" s="71">
        <v>0</v>
      </c>
      <c r="R31" s="71">
        <v>0</v>
      </c>
      <c r="S31" s="74">
        <f t="shared" si="20"/>
        <v>0</v>
      </c>
      <c r="T31" s="71">
        <v>0</v>
      </c>
      <c r="U31" s="71">
        <v>0</v>
      </c>
      <c r="V31" s="74">
        <f t="shared" si="21"/>
        <v>0</v>
      </c>
      <c r="W31" s="74">
        <f t="shared" si="22"/>
        <v>66.947666666666663</v>
      </c>
      <c r="X31" s="74">
        <f t="shared" si="22"/>
        <v>73.985756000000009</v>
      </c>
      <c r="Y31" s="74">
        <f t="shared" si="16"/>
        <v>7.0380893333333461</v>
      </c>
      <c r="Z31" s="12"/>
    </row>
    <row r="32" spans="1:26" ht="15.95" customHeight="1" x14ac:dyDescent="0.25">
      <c r="A32" s="79">
        <v>24</v>
      </c>
      <c r="B32" s="29" t="s">
        <v>44</v>
      </c>
      <c r="C32" s="89">
        <v>630</v>
      </c>
      <c r="D32" s="61">
        <f>'CPDCL Q4 trueup'!D32</f>
        <v>1.7299999999999999E-2</v>
      </c>
      <c r="E32" s="78">
        <v>6.7</v>
      </c>
      <c r="F32" s="78">
        <v>7.2794670000000004</v>
      </c>
      <c r="G32" s="74">
        <f t="shared" si="9"/>
        <v>0.57946700000000018</v>
      </c>
      <c r="H32" s="78">
        <v>8.2833333333333332</v>
      </c>
      <c r="I32" s="71">
        <v>6.5162784082000007</v>
      </c>
      <c r="J32" s="74">
        <f t="shared" si="10"/>
        <v>-1.7670549251333325</v>
      </c>
      <c r="K32" s="78">
        <f>E32*2.88</f>
        <v>19.295999999999999</v>
      </c>
      <c r="L32" s="71">
        <v>19.227813999999999</v>
      </c>
      <c r="M32" s="74">
        <f t="shared" si="11"/>
        <v>-6.8186000000000746E-2</v>
      </c>
      <c r="N32" s="71">
        <v>0</v>
      </c>
      <c r="O32" s="71">
        <v>0</v>
      </c>
      <c r="P32" s="74">
        <f t="shared" si="19"/>
        <v>0</v>
      </c>
      <c r="Q32" s="71">
        <v>0</v>
      </c>
      <c r="R32" s="71">
        <v>0</v>
      </c>
      <c r="S32" s="74">
        <f t="shared" si="20"/>
        <v>0</v>
      </c>
      <c r="T32" s="71">
        <v>0</v>
      </c>
      <c r="U32" s="71">
        <v>0</v>
      </c>
      <c r="V32" s="74">
        <f t="shared" si="21"/>
        <v>0</v>
      </c>
      <c r="W32" s="74">
        <f t="shared" si="22"/>
        <v>27.579333333333331</v>
      </c>
      <c r="X32" s="74">
        <f t="shared" si="22"/>
        <v>25.7440924082</v>
      </c>
      <c r="Y32" s="74">
        <f t="shared" si="16"/>
        <v>-1.8352409251333306</v>
      </c>
      <c r="Z32" s="12"/>
    </row>
    <row r="33" spans="1:26" ht="15.95" customHeight="1" x14ac:dyDescent="0.25">
      <c r="A33" s="79">
        <v>25</v>
      </c>
      <c r="B33" s="29" t="s">
        <v>45</v>
      </c>
      <c r="C33" s="89">
        <v>840</v>
      </c>
      <c r="D33" s="61">
        <f>'CPDCL Q4 trueup'!D33</f>
        <v>2.3800000000000002E-2</v>
      </c>
      <c r="E33" s="78">
        <v>12.02</v>
      </c>
      <c r="F33" s="78">
        <v>11.082717000000001</v>
      </c>
      <c r="G33" s="74">
        <f t="shared" si="9"/>
        <v>-0.93728299999999898</v>
      </c>
      <c r="H33" s="78">
        <v>8.5583333333333336</v>
      </c>
      <c r="I33" s="71">
        <v>8.1044937788000002</v>
      </c>
      <c r="J33" s="74">
        <f t="shared" si="10"/>
        <v>-0.45383955453333336</v>
      </c>
      <c r="K33" s="78">
        <f>E33*2.77</f>
        <v>33.295400000000001</v>
      </c>
      <c r="L33" s="71">
        <v>29.211586</v>
      </c>
      <c r="M33" s="74">
        <f t="shared" si="11"/>
        <v>-4.0838140000000003</v>
      </c>
      <c r="N33" s="71">
        <v>0</v>
      </c>
      <c r="O33" s="71">
        <v>0</v>
      </c>
      <c r="P33" s="74">
        <f t="shared" si="19"/>
        <v>0</v>
      </c>
      <c r="Q33" s="71">
        <v>0</v>
      </c>
      <c r="R33" s="71">
        <v>0</v>
      </c>
      <c r="S33" s="74">
        <f t="shared" si="20"/>
        <v>0</v>
      </c>
      <c r="T33" s="71">
        <v>0</v>
      </c>
      <c r="U33" s="71">
        <v>0</v>
      </c>
      <c r="V33" s="74">
        <f t="shared" si="21"/>
        <v>0</v>
      </c>
      <c r="W33" s="74">
        <f t="shared" si="22"/>
        <v>41.853733333333338</v>
      </c>
      <c r="X33" s="74">
        <f t="shared" si="22"/>
        <v>37.316079778800002</v>
      </c>
      <c r="Y33" s="74">
        <f t="shared" si="16"/>
        <v>-4.5376535545333354</v>
      </c>
      <c r="Z33" s="12"/>
    </row>
    <row r="34" spans="1:26" ht="15.95" customHeight="1" x14ac:dyDescent="0.25">
      <c r="A34" s="79">
        <v>26</v>
      </c>
      <c r="B34" s="29" t="s">
        <v>19</v>
      </c>
      <c r="C34" s="89">
        <v>440</v>
      </c>
      <c r="D34" s="61">
        <f>'CPDCL Q4 trueup'!D34</f>
        <v>9.5999999999999992E-3</v>
      </c>
      <c r="E34" s="78">
        <v>0.99</v>
      </c>
      <c r="F34" s="78">
        <v>1.1305247147999999</v>
      </c>
      <c r="G34" s="74">
        <f t="shared" si="9"/>
        <v>0.14052471479999995</v>
      </c>
      <c r="H34" s="78">
        <v>0</v>
      </c>
      <c r="I34" s="71">
        <v>0</v>
      </c>
      <c r="J34" s="74">
        <f t="shared" si="10"/>
        <v>0</v>
      </c>
      <c r="K34" s="78">
        <f>E34*2.61</f>
        <v>2.5838999999999999</v>
      </c>
      <c r="L34" s="71">
        <v>3.3662200000000002</v>
      </c>
      <c r="M34" s="74">
        <f t="shared" si="11"/>
        <v>0.78232000000000035</v>
      </c>
      <c r="N34" s="71">
        <v>0</v>
      </c>
      <c r="O34" s="71">
        <v>0</v>
      </c>
      <c r="P34" s="74">
        <f t="shared" si="19"/>
        <v>0</v>
      </c>
      <c r="Q34" s="71">
        <v>0</v>
      </c>
      <c r="R34" s="71">
        <v>0</v>
      </c>
      <c r="S34" s="74">
        <f t="shared" si="20"/>
        <v>0</v>
      </c>
      <c r="T34" s="71">
        <v>0</v>
      </c>
      <c r="U34" s="71">
        <v>0</v>
      </c>
      <c r="V34" s="74">
        <f t="shared" si="21"/>
        <v>0</v>
      </c>
      <c r="W34" s="74">
        <f t="shared" si="22"/>
        <v>2.5838999999999999</v>
      </c>
      <c r="X34" s="74">
        <f t="shared" si="22"/>
        <v>3.3662200000000002</v>
      </c>
      <c r="Y34" s="74">
        <f t="shared" si="16"/>
        <v>0.78232000000000035</v>
      </c>
      <c r="Z34" s="12"/>
    </row>
    <row r="35" spans="1:26" ht="15.95" customHeight="1" x14ac:dyDescent="0.25">
      <c r="A35" s="79">
        <v>27</v>
      </c>
      <c r="B35" s="29" t="s">
        <v>46</v>
      </c>
      <c r="C35" s="107">
        <v>880</v>
      </c>
      <c r="D35" s="109">
        <f ca="1">'CPDCL Q4 trueup'!D35</f>
        <v>0</v>
      </c>
      <c r="E35" s="111">
        <v>15.87</v>
      </c>
      <c r="F35" s="106">
        <v>18.5550516624</v>
      </c>
      <c r="G35" s="97">
        <f>F35-E35</f>
        <v>2.6850516624000011</v>
      </c>
      <c r="H35" s="111">
        <v>0</v>
      </c>
      <c r="I35" s="105">
        <v>0</v>
      </c>
      <c r="J35" s="97">
        <f t="shared" si="10"/>
        <v>0</v>
      </c>
      <c r="K35" s="111">
        <f>E35*3.48</f>
        <v>55.227599999999995</v>
      </c>
      <c r="L35" s="105">
        <v>70.451093</v>
      </c>
      <c r="M35" s="97">
        <f t="shared" si="11"/>
        <v>15.223493000000005</v>
      </c>
      <c r="N35" s="99">
        <v>0</v>
      </c>
      <c r="O35" s="99">
        <v>0</v>
      </c>
      <c r="P35" s="97">
        <f t="shared" si="19"/>
        <v>0</v>
      </c>
      <c r="Q35" s="99">
        <v>0</v>
      </c>
      <c r="R35" s="99">
        <v>0</v>
      </c>
      <c r="S35" s="97">
        <f t="shared" si="20"/>
        <v>0</v>
      </c>
      <c r="T35" s="99">
        <v>0</v>
      </c>
      <c r="U35" s="99">
        <v>0</v>
      </c>
      <c r="V35" s="97">
        <f t="shared" si="21"/>
        <v>0</v>
      </c>
      <c r="W35" s="97">
        <f t="shared" si="22"/>
        <v>55.227599999999995</v>
      </c>
      <c r="X35" s="97">
        <f t="shared" si="22"/>
        <v>70.451093</v>
      </c>
      <c r="Y35" s="97">
        <f t="shared" si="16"/>
        <v>15.223493000000005</v>
      </c>
      <c r="Z35" s="12"/>
    </row>
    <row r="36" spans="1:26" ht="15.95" customHeight="1" x14ac:dyDescent="0.25">
      <c r="A36" s="79">
        <v>28</v>
      </c>
      <c r="B36" s="29" t="s">
        <v>47</v>
      </c>
      <c r="C36" s="108"/>
      <c r="D36" s="110"/>
      <c r="E36" s="112"/>
      <c r="F36" s="106"/>
      <c r="G36" s="98"/>
      <c r="H36" s="112"/>
      <c r="I36" s="105"/>
      <c r="J36" s="98"/>
      <c r="K36" s="112"/>
      <c r="L36" s="105"/>
      <c r="M36" s="98"/>
      <c r="N36" s="100"/>
      <c r="O36" s="100"/>
      <c r="P36" s="98"/>
      <c r="Q36" s="100"/>
      <c r="R36" s="100"/>
      <c r="S36" s="98"/>
      <c r="T36" s="100"/>
      <c r="U36" s="100"/>
      <c r="V36" s="98">
        <f t="shared" si="21"/>
        <v>0</v>
      </c>
      <c r="W36" s="98">
        <f t="shared" si="22"/>
        <v>0</v>
      </c>
      <c r="X36" s="98">
        <f t="shared" si="22"/>
        <v>0</v>
      </c>
      <c r="Y36" s="98">
        <f t="shared" si="16"/>
        <v>0</v>
      </c>
      <c r="Z36" s="12"/>
    </row>
    <row r="37" spans="1:26" ht="25.5" x14ac:dyDescent="0.25">
      <c r="A37" s="79">
        <v>29</v>
      </c>
      <c r="B37" s="29" t="s">
        <v>91</v>
      </c>
      <c r="C37" s="89">
        <v>1000</v>
      </c>
      <c r="D37" s="61">
        <f>'CPDCL Q4 trueup'!D37</f>
        <v>2.8299999999999999E-2</v>
      </c>
      <c r="E37" s="78">
        <v>16.899999999999999</v>
      </c>
      <c r="F37" s="78">
        <v>12.232653000000001</v>
      </c>
      <c r="G37" s="74">
        <f t="shared" si="9"/>
        <v>-4.6673469999999977</v>
      </c>
      <c r="H37" s="78">
        <v>27.416666666666668</v>
      </c>
      <c r="I37" s="71">
        <v>19.695319000000001</v>
      </c>
      <c r="J37" s="74">
        <f t="shared" si="10"/>
        <v>-7.7213476666666665</v>
      </c>
      <c r="K37" s="78">
        <f>E37*2.9</f>
        <v>49.009999999999991</v>
      </c>
      <c r="L37" s="71">
        <v>43.994729</v>
      </c>
      <c r="M37" s="74">
        <f t="shared" si="11"/>
        <v>-5.0152709999999914</v>
      </c>
      <c r="N37" s="71">
        <v>0</v>
      </c>
      <c r="O37" s="71">
        <v>0</v>
      </c>
      <c r="P37" s="74">
        <f t="shared" si="19"/>
        <v>0</v>
      </c>
      <c r="Q37" s="71">
        <v>0</v>
      </c>
      <c r="R37" s="71">
        <v>0</v>
      </c>
      <c r="S37" s="74">
        <f t="shared" si="20"/>
        <v>0</v>
      </c>
      <c r="T37" s="71">
        <v>0</v>
      </c>
      <c r="U37" s="71">
        <v>0</v>
      </c>
      <c r="V37" s="74">
        <f t="shared" si="21"/>
        <v>0</v>
      </c>
      <c r="W37" s="74">
        <f t="shared" si="22"/>
        <v>76.426666666666662</v>
      </c>
      <c r="X37" s="74">
        <f t="shared" si="22"/>
        <v>63.690048000000004</v>
      </c>
      <c r="Y37" s="74">
        <f t="shared" si="16"/>
        <v>-12.736618666666658</v>
      </c>
      <c r="Z37" s="12"/>
    </row>
    <row r="38" spans="1:26" ht="15.95" customHeight="1" x14ac:dyDescent="0.25">
      <c r="A38" s="79">
        <v>30</v>
      </c>
      <c r="B38" s="29" t="s">
        <v>48</v>
      </c>
      <c r="C38" s="89">
        <v>1000</v>
      </c>
      <c r="D38" s="61">
        <f>'CPDCL Q4 trueup'!D38</f>
        <v>1.23E-2</v>
      </c>
      <c r="E38" s="78">
        <v>3.78</v>
      </c>
      <c r="F38" s="78">
        <v>8.0854859999999995</v>
      </c>
      <c r="G38" s="74">
        <f t="shared" si="9"/>
        <v>4.3054860000000001</v>
      </c>
      <c r="H38" s="78">
        <v>8.5749999999999993</v>
      </c>
      <c r="I38" s="71">
        <v>14.725203009799998</v>
      </c>
      <c r="J38" s="74">
        <f t="shared" si="10"/>
        <v>6.1502030097999985</v>
      </c>
      <c r="K38" s="78">
        <f>E38*2.34</f>
        <v>8.8451999999999984</v>
      </c>
      <c r="L38" s="71">
        <v>17.708598825999996</v>
      </c>
      <c r="M38" s="74">
        <f t="shared" si="11"/>
        <v>8.8633988259999974</v>
      </c>
      <c r="N38" s="71">
        <v>0</v>
      </c>
      <c r="O38" s="71">
        <v>0</v>
      </c>
      <c r="P38" s="74">
        <f t="shared" si="19"/>
        <v>0</v>
      </c>
      <c r="Q38" s="71">
        <v>0</v>
      </c>
      <c r="R38" s="71">
        <v>0</v>
      </c>
      <c r="S38" s="74">
        <f t="shared" si="20"/>
        <v>0</v>
      </c>
      <c r="T38" s="71">
        <v>0</v>
      </c>
      <c r="U38" s="71">
        <v>0</v>
      </c>
      <c r="V38" s="74">
        <f t="shared" si="21"/>
        <v>0</v>
      </c>
      <c r="W38" s="74">
        <f t="shared" si="22"/>
        <v>17.420199999999998</v>
      </c>
      <c r="X38" s="74">
        <f t="shared" si="22"/>
        <v>32.433801835799997</v>
      </c>
      <c r="Y38" s="74">
        <f t="shared" si="16"/>
        <v>15.013601835799999</v>
      </c>
      <c r="Z38" s="12"/>
    </row>
    <row r="39" spans="1:26" s="37" customFormat="1" ht="15.95" customHeight="1" x14ac:dyDescent="0.25">
      <c r="A39" s="31"/>
      <c r="B39" s="30" t="s">
        <v>49</v>
      </c>
      <c r="C39" s="90">
        <f>SUM(C24:C38)</f>
        <v>15290</v>
      </c>
      <c r="D39" s="32"/>
      <c r="E39" s="32">
        <f t="shared" ref="E39:Y39" si="23">SUM(E24:E38)</f>
        <v>276.20999999999998</v>
      </c>
      <c r="F39" s="32">
        <f t="shared" si="23"/>
        <v>290.23104337720002</v>
      </c>
      <c r="G39" s="32">
        <f t="shared" si="23"/>
        <v>14.02104337720001</v>
      </c>
      <c r="H39" s="32">
        <f t="shared" si="23"/>
        <v>283.11666666666667</v>
      </c>
      <c r="I39" s="32">
        <f t="shared" si="23"/>
        <v>253.86230419679998</v>
      </c>
      <c r="J39" s="32">
        <f t="shared" si="23"/>
        <v>-29.254362469866674</v>
      </c>
      <c r="K39" s="32">
        <f t="shared" si="23"/>
        <v>811.1241</v>
      </c>
      <c r="L39" s="32">
        <f t="shared" si="23"/>
        <v>899.72355182599995</v>
      </c>
      <c r="M39" s="32">
        <f t="shared" si="23"/>
        <v>88.599451826000021</v>
      </c>
      <c r="N39" s="32">
        <f t="shared" si="23"/>
        <v>0</v>
      </c>
      <c r="O39" s="32">
        <f t="shared" si="23"/>
        <v>0</v>
      </c>
      <c r="P39" s="32">
        <f t="shared" si="23"/>
        <v>0</v>
      </c>
      <c r="Q39" s="32">
        <f t="shared" si="23"/>
        <v>0</v>
      </c>
      <c r="R39" s="32">
        <f t="shared" si="23"/>
        <v>0</v>
      </c>
      <c r="S39" s="32">
        <f t="shared" si="23"/>
        <v>0</v>
      </c>
      <c r="T39" s="32">
        <f t="shared" si="23"/>
        <v>0</v>
      </c>
      <c r="U39" s="32">
        <f t="shared" si="23"/>
        <v>0</v>
      </c>
      <c r="V39" s="32">
        <f t="shared" si="23"/>
        <v>0</v>
      </c>
      <c r="W39" s="32">
        <f t="shared" si="23"/>
        <v>1094.2407666666668</v>
      </c>
      <c r="X39" s="32">
        <f t="shared" si="23"/>
        <v>1153.5858560228</v>
      </c>
      <c r="Y39" s="32">
        <f t="shared" si="23"/>
        <v>59.345089356133343</v>
      </c>
      <c r="Z39" s="33"/>
    </row>
    <row r="40" spans="1:26" s="51" customFormat="1" ht="15.95" customHeight="1" x14ac:dyDescent="0.25">
      <c r="A40" s="84">
        <v>31</v>
      </c>
      <c r="B40" s="53" t="s">
        <v>50</v>
      </c>
      <c r="C40" s="91" t="str">
        <f ca="1">'CPDCL Q4 trueup'!C40</f>
        <v>**</v>
      </c>
      <c r="D40" s="85"/>
      <c r="E40" s="55">
        <v>5.35</v>
      </c>
      <c r="F40" s="55">
        <v>3.844284</v>
      </c>
      <c r="G40" s="55">
        <f t="shared" si="9"/>
        <v>-1.5057159999999996</v>
      </c>
      <c r="H40" s="55">
        <v>9.0299999999999994</v>
      </c>
      <c r="I40" s="55">
        <v>0</v>
      </c>
      <c r="J40" s="55">
        <f t="shared" si="10"/>
        <v>-9.0299999999999994</v>
      </c>
      <c r="K40" s="55">
        <f>E40*3.58</f>
        <v>19.152999999999999</v>
      </c>
      <c r="L40" s="55">
        <v>19.433449</v>
      </c>
      <c r="M40" s="55">
        <f t="shared" si="11"/>
        <v>0.28044900000000084</v>
      </c>
      <c r="N40" s="74">
        <v>0</v>
      </c>
      <c r="O40" s="74">
        <v>0</v>
      </c>
      <c r="P40" s="55">
        <f>O40-N40</f>
        <v>0</v>
      </c>
      <c r="Q40" s="74">
        <v>0</v>
      </c>
      <c r="R40" s="74">
        <v>0</v>
      </c>
      <c r="S40" s="55">
        <f>R40-Q40</f>
        <v>0</v>
      </c>
      <c r="T40" s="74">
        <v>0</v>
      </c>
      <c r="U40" s="74">
        <v>0</v>
      </c>
      <c r="V40" s="55">
        <f>U40-T40</f>
        <v>0</v>
      </c>
      <c r="W40" s="55">
        <f t="shared" ref="W40:X45" si="24">H40+K40+N40+Q40+T40</f>
        <v>28.183</v>
      </c>
      <c r="X40" s="55">
        <f t="shared" si="24"/>
        <v>19.433449</v>
      </c>
      <c r="Y40" s="55">
        <f t="shared" si="16"/>
        <v>-8.7495510000000003</v>
      </c>
      <c r="Z40" s="50"/>
    </row>
    <row r="41" spans="1:26" ht="15.95" customHeight="1" x14ac:dyDescent="0.25">
      <c r="A41" s="79">
        <v>32</v>
      </c>
      <c r="B41" s="28" t="s">
        <v>51</v>
      </c>
      <c r="C41" s="78">
        <v>3766.6</v>
      </c>
      <c r="D41" s="61">
        <f>'CPDCL Q4 trueup'!D41</f>
        <v>0</v>
      </c>
      <c r="E41" s="78">
        <v>0</v>
      </c>
      <c r="F41" s="78">
        <v>0</v>
      </c>
      <c r="G41" s="74">
        <f t="shared" si="9"/>
        <v>0</v>
      </c>
      <c r="H41" s="78">
        <v>0</v>
      </c>
      <c r="I41" s="78">
        <v>0</v>
      </c>
      <c r="J41" s="74">
        <f t="shared" si="10"/>
        <v>0</v>
      </c>
      <c r="K41" s="78">
        <v>0</v>
      </c>
      <c r="L41" s="78">
        <v>0</v>
      </c>
      <c r="M41" s="74">
        <f t="shared" si="11"/>
        <v>0</v>
      </c>
      <c r="N41" s="71">
        <v>0</v>
      </c>
      <c r="O41" s="71">
        <v>0</v>
      </c>
      <c r="P41" s="74">
        <f t="shared" ref="P41:P45" si="25">O41-N41</f>
        <v>0</v>
      </c>
      <c r="Q41" s="71">
        <v>0</v>
      </c>
      <c r="R41" s="71">
        <v>0</v>
      </c>
      <c r="S41" s="74">
        <f t="shared" ref="S41:S45" si="26">R41-Q41</f>
        <v>0</v>
      </c>
      <c r="T41" s="71">
        <v>0</v>
      </c>
      <c r="U41" s="71">
        <v>0</v>
      </c>
      <c r="V41" s="74">
        <f t="shared" ref="V41:V45" si="27">U41-T41</f>
        <v>0</v>
      </c>
      <c r="W41" s="74">
        <f t="shared" si="24"/>
        <v>0</v>
      </c>
      <c r="X41" s="74">
        <f t="shared" si="24"/>
        <v>0</v>
      </c>
      <c r="Y41" s="74">
        <f t="shared" si="16"/>
        <v>0</v>
      </c>
      <c r="Z41" s="12"/>
    </row>
    <row r="42" spans="1:26" ht="15.95" customHeight="1" x14ac:dyDescent="0.25">
      <c r="A42" s="79">
        <v>33</v>
      </c>
      <c r="B42" s="28" t="s">
        <v>52</v>
      </c>
      <c r="C42" s="78">
        <v>309.66000000000003</v>
      </c>
      <c r="D42" s="61">
        <f>'CPDCL Q4 trueup'!D42</f>
        <v>0.29780000000000001</v>
      </c>
      <c r="E42" s="78">
        <v>16.91</v>
      </c>
      <c r="F42" s="78">
        <v>15.105861000000001</v>
      </c>
      <c r="G42" s="74">
        <f t="shared" si="9"/>
        <v>-1.8041389999999993</v>
      </c>
      <c r="H42" s="78">
        <v>0</v>
      </c>
      <c r="I42" s="78">
        <v>0</v>
      </c>
      <c r="J42" s="74">
        <f t="shared" si="10"/>
        <v>0</v>
      </c>
      <c r="K42" s="78">
        <f>E42*5.14</f>
        <v>86.917400000000001</v>
      </c>
      <c r="L42" s="78">
        <v>84.187674999999999</v>
      </c>
      <c r="M42" s="74">
        <f t="shared" si="11"/>
        <v>-2.729725000000002</v>
      </c>
      <c r="N42" s="71">
        <v>0</v>
      </c>
      <c r="O42" s="71">
        <v>0</v>
      </c>
      <c r="P42" s="74">
        <f t="shared" si="25"/>
        <v>0</v>
      </c>
      <c r="Q42" s="71">
        <v>0</v>
      </c>
      <c r="R42" s="71">
        <v>0</v>
      </c>
      <c r="S42" s="74">
        <f t="shared" si="26"/>
        <v>0</v>
      </c>
      <c r="T42" s="71">
        <v>0</v>
      </c>
      <c r="U42" s="71">
        <v>0</v>
      </c>
      <c r="V42" s="74">
        <f t="shared" si="27"/>
        <v>0</v>
      </c>
      <c r="W42" s="74">
        <f t="shared" si="24"/>
        <v>86.917400000000001</v>
      </c>
      <c r="X42" s="74">
        <f t="shared" si="24"/>
        <v>84.187674999999999</v>
      </c>
      <c r="Y42" s="74">
        <f t="shared" si="16"/>
        <v>-2.729725000000002</v>
      </c>
      <c r="Z42" s="12"/>
    </row>
    <row r="43" spans="1:26" ht="15.95" customHeight="1" x14ac:dyDescent="0.25">
      <c r="A43" s="79">
        <v>34</v>
      </c>
      <c r="B43" s="28" t="s">
        <v>53</v>
      </c>
      <c r="C43" s="78">
        <v>1466.43</v>
      </c>
      <c r="D43" s="61">
        <f>'CPDCL Q4 trueup'!D43</f>
        <v>1.9099999999999999E-2</v>
      </c>
      <c r="E43" s="78">
        <v>8.5500000000000007</v>
      </c>
      <c r="F43" s="78">
        <v>3.2191109999999998</v>
      </c>
      <c r="G43" s="74">
        <f t="shared" si="9"/>
        <v>-5.3308890000000009</v>
      </c>
      <c r="H43" s="78">
        <v>0</v>
      </c>
      <c r="I43" s="78">
        <v>0</v>
      </c>
      <c r="J43" s="74">
        <f t="shared" si="10"/>
        <v>0</v>
      </c>
      <c r="K43" s="78">
        <f>E43*2.44</f>
        <v>20.862000000000002</v>
      </c>
      <c r="L43" s="78">
        <v>22.6913350596</v>
      </c>
      <c r="M43" s="74">
        <f t="shared" si="11"/>
        <v>1.8293350595999982</v>
      </c>
      <c r="N43" s="71">
        <v>0</v>
      </c>
      <c r="O43" s="71">
        <v>0</v>
      </c>
      <c r="P43" s="74">
        <f t="shared" si="25"/>
        <v>0</v>
      </c>
      <c r="Q43" s="71">
        <v>0</v>
      </c>
      <c r="R43" s="71">
        <v>0</v>
      </c>
      <c r="S43" s="74">
        <f t="shared" si="26"/>
        <v>0</v>
      </c>
      <c r="T43" s="71">
        <v>0</v>
      </c>
      <c r="U43" s="71">
        <v>0</v>
      </c>
      <c r="V43" s="74">
        <f t="shared" si="27"/>
        <v>0</v>
      </c>
      <c r="W43" s="74">
        <f t="shared" si="24"/>
        <v>20.862000000000002</v>
      </c>
      <c r="X43" s="74">
        <f t="shared" si="24"/>
        <v>22.6913350596</v>
      </c>
      <c r="Y43" s="74">
        <f t="shared" si="16"/>
        <v>1.8293350595999982</v>
      </c>
      <c r="Z43" s="12"/>
    </row>
    <row r="44" spans="1:26" ht="15.95" customHeight="1" x14ac:dyDescent="0.25">
      <c r="A44" s="79">
        <v>35</v>
      </c>
      <c r="B44" s="28" t="s">
        <v>54</v>
      </c>
      <c r="C44" s="89">
        <v>39</v>
      </c>
      <c r="D44" s="61">
        <f>'CPDCL Q4 trueup'!D44</f>
        <v>0</v>
      </c>
      <c r="E44" s="78">
        <v>1.27</v>
      </c>
      <c r="F44" s="78">
        <v>0</v>
      </c>
      <c r="G44" s="74">
        <f t="shared" si="9"/>
        <v>-1.27</v>
      </c>
      <c r="H44" s="78">
        <v>0</v>
      </c>
      <c r="I44" s="78">
        <v>0</v>
      </c>
      <c r="J44" s="74">
        <f t="shared" si="10"/>
        <v>0</v>
      </c>
      <c r="K44" s="78">
        <f>E44*10.5</f>
        <v>13.335000000000001</v>
      </c>
      <c r="L44" s="78">
        <v>0</v>
      </c>
      <c r="M44" s="74">
        <f t="shared" si="11"/>
        <v>-13.335000000000001</v>
      </c>
      <c r="N44" s="71">
        <v>0</v>
      </c>
      <c r="O44" s="71">
        <v>0</v>
      </c>
      <c r="P44" s="74">
        <f t="shared" si="25"/>
        <v>0</v>
      </c>
      <c r="Q44" s="71">
        <v>0</v>
      </c>
      <c r="R44" s="71">
        <v>0</v>
      </c>
      <c r="S44" s="74">
        <f t="shared" si="26"/>
        <v>0</v>
      </c>
      <c r="T44" s="71">
        <v>0</v>
      </c>
      <c r="U44" s="71">
        <v>0</v>
      </c>
      <c r="V44" s="74">
        <f t="shared" si="27"/>
        <v>0</v>
      </c>
      <c r="W44" s="74">
        <f t="shared" si="24"/>
        <v>13.335000000000001</v>
      </c>
      <c r="X44" s="74">
        <f t="shared" si="24"/>
        <v>0</v>
      </c>
      <c r="Y44" s="74">
        <f t="shared" si="16"/>
        <v>-13.335000000000001</v>
      </c>
      <c r="Z44" s="12"/>
    </row>
    <row r="45" spans="1:26" ht="15.95" customHeight="1" x14ac:dyDescent="0.25">
      <c r="A45" s="79">
        <v>36</v>
      </c>
      <c r="B45" s="28" t="s">
        <v>55</v>
      </c>
      <c r="C45" s="89">
        <v>1250</v>
      </c>
      <c r="D45" s="61">
        <f>'CPDCL Q4 trueup'!D45</f>
        <v>0</v>
      </c>
      <c r="E45" s="78">
        <v>0</v>
      </c>
      <c r="F45" s="78">
        <v>0</v>
      </c>
      <c r="G45" s="74">
        <f t="shared" si="9"/>
        <v>0</v>
      </c>
      <c r="H45" s="78">
        <v>0</v>
      </c>
      <c r="I45" s="78">
        <v>0</v>
      </c>
      <c r="J45" s="74">
        <f t="shared" si="10"/>
        <v>0</v>
      </c>
      <c r="K45" s="78">
        <v>0</v>
      </c>
      <c r="L45" s="78">
        <v>0</v>
      </c>
      <c r="M45" s="74">
        <f t="shared" si="11"/>
        <v>0</v>
      </c>
      <c r="N45" s="71">
        <v>0</v>
      </c>
      <c r="O45" s="71">
        <v>0</v>
      </c>
      <c r="P45" s="74">
        <f t="shared" si="25"/>
        <v>0</v>
      </c>
      <c r="Q45" s="71">
        <v>0</v>
      </c>
      <c r="R45" s="71">
        <v>0</v>
      </c>
      <c r="S45" s="74">
        <f t="shared" si="26"/>
        <v>0</v>
      </c>
      <c r="T45" s="71">
        <v>0</v>
      </c>
      <c r="U45" s="71">
        <v>0</v>
      </c>
      <c r="V45" s="74">
        <f t="shared" si="27"/>
        <v>0</v>
      </c>
      <c r="W45" s="74">
        <f t="shared" si="24"/>
        <v>0</v>
      </c>
      <c r="X45" s="74">
        <f t="shared" si="24"/>
        <v>0</v>
      </c>
      <c r="Y45" s="74">
        <f t="shared" si="16"/>
        <v>0</v>
      </c>
      <c r="Z45" s="12"/>
    </row>
    <row r="46" spans="1:26" s="37" customFormat="1" ht="15.95" customHeight="1" x14ac:dyDescent="0.25">
      <c r="A46" s="31"/>
      <c r="B46" s="30" t="s">
        <v>56</v>
      </c>
      <c r="C46" s="32">
        <f>SUM(C41:C45)</f>
        <v>6831.69</v>
      </c>
      <c r="D46" s="32"/>
      <c r="E46" s="32">
        <f t="shared" ref="E46:Y46" si="28">SUM(E41:E45)</f>
        <v>26.73</v>
      </c>
      <c r="F46" s="32">
        <f t="shared" si="28"/>
        <v>18.324972000000002</v>
      </c>
      <c r="G46" s="32">
        <f t="shared" si="28"/>
        <v>-8.4050279999999997</v>
      </c>
      <c r="H46" s="32">
        <f t="shared" si="28"/>
        <v>0</v>
      </c>
      <c r="I46" s="32">
        <f t="shared" si="28"/>
        <v>0</v>
      </c>
      <c r="J46" s="32">
        <f t="shared" si="28"/>
        <v>0</v>
      </c>
      <c r="K46" s="32">
        <f t="shared" si="28"/>
        <v>121.11440000000002</v>
      </c>
      <c r="L46" s="32">
        <f t="shared" si="28"/>
        <v>106.87901005960001</v>
      </c>
      <c r="M46" s="32">
        <f t="shared" si="28"/>
        <v>-14.235389940400005</v>
      </c>
      <c r="N46" s="32">
        <f t="shared" si="28"/>
        <v>0</v>
      </c>
      <c r="O46" s="32">
        <f t="shared" si="28"/>
        <v>0</v>
      </c>
      <c r="P46" s="32">
        <f t="shared" si="28"/>
        <v>0</v>
      </c>
      <c r="Q46" s="32">
        <f t="shared" si="28"/>
        <v>0</v>
      </c>
      <c r="R46" s="32">
        <f t="shared" si="28"/>
        <v>0</v>
      </c>
      <c r="S46" s="32">
        <f t="shared" si="28"/>
        <v>0</v>
      </c>
      <c r="T46" s="32">
        <f t="shared" si="28"/>
        <v>0</v>
      </c>
      <c r="U46" s="32">
        <f t="shared" si="28"/>
        <v>0</v>
      </c>
      <c r="V46" s="32">
        <f t="shared" si="28"/>
        <v>0</v>
      </c>
      <c r="W46" s="32">
        <f t="shared" si="28"/>
        <v>121.11440000000002</v>
      </c>
      <c r="X46" s="32">
        <f t="shared" si="28"/>
        <v>106.87901005960001</v>
      </c>
      <c r="Y46" s="32">
        <f t="shared" si="28"/>
        <v>-14.235389940400005</v>
      </c>
      <c r="Z46" s="33"/>
    </row>
    <row r="47" spans="1:26" ht="15.95" customHeight="1" x14ac:dyDescent="0.25">
      <c r="A47" s="79">
        <v>37</v>
      </c>
      <c r="B47" s="28" t="s">
        <v>57</v>
      </c>
      <c r="C47" s="89">
        <v>216</v>
      </c>
      <c r="D47" s="61">
        <f>'CPDCL Q4 trueup'!D47</f>
        <v>0.2334</v>
      </c>
      <c r="E47" s="78">
        <v>22.74</v>
      </c>
      <c r="F47" s="78">
        <v>10.142006288399999</v>
      </c>
      <c r="G47" s="74">
        <f t="shared" si="9"/>
        <v>-12.597993711599999</v>
      </c>
      <c r="H47" s="78">
        <v>3.8916666666666666</v>
      </c>
      <c r="I47" s="71">
        <v>4.9525176342000004</v>
      </c>
      <c r="J47" s="74">
        <f t="shared" si="10"/>
        <v>1.0608509675333337</v>
      </c>
      <c r="K47" s="78">
        <f>E47*2.2</f>
        <v>50.027999999999999</v>
      </c>
      <c r="L47" s="71">
        <v>28.717118680799999</v>
      </c>
      <c r="M47" s="74">
        <f t="shared" si="11"/>
        <v>-21.3108813192</v>
      </c>
      <c r="N47" s="71">
        <v>0</v>
      </c>
      <c r="O47" s="71">
        <v>0</v>
      </c>
      <c r="P47" s="74">
        <f t="shared" ref="P47:P49" si="29">O47-N47</f>
        <v>0</v>
      </c>
      <c r="Q47" s="71">
        <v>0</v>
      </c>
      <c r="R47" s="71">
        <v>0</v>
      </c>
      <c r="S47" s="74">
        <f t="shared" ref="S47:S49" si="30">R47-Q47</f>
        <v>0</v>
      </c>
      <c r="T47" s="71">
        <v>0</v>
      </c>
      <c r="U47" s="71">
        <v>0</v>
      </c>
      <c r="V47" s="74">
        <f t="shared" ref="V47:V49" si="31">U47-T47</f>
        <v>0</v>
      </c>
      <c r="W47" s="74">
        <f t="shared" ref="W47:X49" si="32">H47+K47+N47+Q47+T47</f>
        <v>53.919666666666664</v>
      </c>
      <c r="X47" s="74">
        <f t="shared" si="32"/>
        <v>33.669636314999998</v>
      </c>
      <c r="Y47" s="74">
        <f t="shared" si="16"/>
        <v>-20.250030351666666</v>
      </c>
      <c r="Z47" s="12"/>
    </row>
    <row r="48" spans="1:26" ht="25.5" x14ac:dyDescent="0.25">
      <c r="A48" s="79">
        <v>38</v>
      </c>
      <c r="B48" s="28" t="s">
        <v>20</v>
      </c>
      <c r="C48" s="89">
        <v>1240</v>
      </c>
      <c r="D48" s="61">
        <f>'CPDCL Q4 trueup'!D48</f>
        <v>4.3400000000000001E-2</v>
      </c>
      <c r="E48" s="78">
        <v>31.99</v>
      </c>
      <c r="F48" s="78">
        <v>39.486762076200002</v>
      </c>
      <c r="G48" s="74">
        <f t="shared" si="9"/>
        <v>7.4967620762000031</v>
      </c>
      <c r="H48" s="78">
        <v>54.349999999999994</v>
      </c>
      <c r="I48" s="71">
        <v>56.1758134146</v>
      </c>
      <c r="J48" s="74">
        <f t="shared" si="10"/>
        <v>1.825813414600006</v>
      </c>
      <c r="K48" s="78">
        <f>E48*2.33</f>
        <v>74.536699999999996</v>
      </c>
      <c r="L48" s="71">
        <v>87.477930000000001</v>
      </c>
      <c r="M48" s="74">
        <f t="shared" si="11"/>
        <v>12.941230000000004</v>
      </c>
      <c r="N48" s="71">
        <v>0</v>
      </c>
      <c r="O48" s="71">
        <v>0</v>
      </c>
      <c r="P48" s="74">
        <f t="shared" si="29"/>
        <v>0</v>
      </c>
      <c r="Q48" s="71">
        <v>0</v>
      </c>
      <c r="R48" s="71">
        <v>0</v>
      </c>
      <c r="S48" s="74">
        <f t="shared" si="30"/>
        <v>0</v>
      </c>
      <c r="T48" s="71">
        <v>0</v>
      </c>
      <c r="U48" s="71">
        <v>0</v>
      </c>
      <c r="V48" s="74">
        <f t="shared" si="31"/>
        <v>0</v>
      </c>
      <c r="W48" s="74">
        <f t="shared" si="32"/>
        <v>128.88669999999999</v>
      </c>
      <c r="X48" s="74">
        <f t="shared" si="32"/>
        <v>143.6537434146</v>
      </c>
      <c r="Y48" s="74">
        <f t="shared" si="16"/>
        <v>14.76704341460001</v>
      </c>
      <c r="Z48" s="12"/>
    </row>
    <row r="49" spans="1:28" ht="15.95" customHeight="1" x14ac:dyDescent="0.25">
      <c r="A49" s="79">
        <v>39</v>
      </c>
      <c r="B49" s="28" t="s">
        <v>58</v>
      </c>
      <c r="C49" s="89">
        <v>1440</v>
      </c>
      <c r="D49" s="61">
        <f>'CPDCL Q4 trueup'!D49</f>
        <v>0.21010000000000001</v>
      </c>
      <c r="E49" s="78">
        <f>115.14+115.14</f>
        <v>230.28</v>
      </c>
      <c r="F49" s="78">
        <v>155.31369599999999</v>
      </c>
      <c r="G49" s="74">
        <f t="shared" si="9"/>
        <v>-74.966304000000008</v>
      </c>
      <c r="H49" s="78">
        <v>346.44166666666672</v>
      </c>
      <c r="I49" s="71">
        <v>244.50615159352944</v>
      </c>
      <c r="J49" s="74">
        <f t="shared" si="10"/>
        <v>-101.93551507313728</v>
      </c>
      <c r="K49" s="78">
        <f>E49*3.14</f>
        <v>723.07920000000001</v>
      </c>
      <c r="L49" s="71">
        <v>487.68500544</v>
      </c>
      <c r="M49" s="74">
        <f t="shared" si="11"/>
        <v>-235.39419456000002</v>
      </c>
      <c r="N49" s="71">
        <v>0</v>
      </c>
      <c r="O49" s="71">
        <v>0</v>
      </c>
      <c r="P49" s="74">
        <f t="shared" si="29"/>
        <v>0</v>
      </c>
      <c r="Q49" s="71">
        <v>0</v>
      </c>
      <c r="R49" s="71">
        <v>0</v>
      </c>
      <c r="S49" s="74">
        <f t="shared" si="30"/>
        <v>0</v>
      </c>
      <c r="T49" s="71">
        <v>0</v>
      </c>
      <c r="U49" s="71">
        <v>0</v>
      </c>
      <c r="V49" s="74">
        <f t="shared" si="31"/>
        <v>0</v>
      </c>
      <c r="W49" s="74">
        <f t="shared" si="32"/>
        <v>1069.5208666666667</v>
      </c>
      <c r="X49" s="74">
        <f t="shared" si="32"/>
        <v>732.19115703352941</v>
      </c>
      <c r="Y49" s="74">
        <f t="shared" si="16"/>
        <v>-337.32970963313733</v>
      </c>
      <c r="Z49" s="12"/>
    </row>
    <row r="50" spans="1:28" ht="15.95" customHeight="1" x14ac:dyDescent="0.25">
      <c r="A50" s="79">
        <v>40</v>
      </c>
      <c r="B50" s="28" t="s">
        <v>87</v>
      </c>
      <c r="C50" s="89"/>
      <c r="D50" s="61"/>
      <c r="E50" s="78"/>
      <c r="F50" s="78"/>
      <c r="G50" s="74"/>
      <c r="H50" s="78"/>
      <c r="I50" s="78"/>
      <c r="J50" s="74"/>
      <c r="K50" s="78"/>
      <c r="L50" s="78"/>
      <c r="M50" s="74"/>
      <c r="N50" s="78"/>
      <c r="O50" s="78"/>
      <c r="P50" s="74"/>
      <c r="Q50" s="78"/>
      <c r="R50" s="78"/>
      <c r="S50" s="74"/>
      <c r="T50" s="78"/>
      <c r="U50" s="78"/>
      <c r="V50" s="74"/>
      <c r="W50" s="76"/>
      <c r="X50" s="76"/>
      <c r="Y50" s="74"/>
      <c r="Z50" s="12"/>
    </row>
    <row r="51" spans="1:28" s="37" customFormat="1" ht="15.95" customHeight="1" x14ac:dyDescent="0.25">
      <c r="A51" s="31"/>
      <c r="B51" s="30" t="s">
        <v>59</v>
      </c>
      <c r="C51" s="90">
        <f>SUM(C47:C50)</f>
        <v>2896</v>
      </c>
      <c r="D51" s="32"/>
      <c r="E51" s="32">
        <f t="shared" ref="E51:Y51" si="33">SUM(E47:E50)</f>
        <v>285.01</v>
      </c>
      <c r="F51" s="32">
        <f t="shared" si="33"/>
        <v>204.9424643646</v>
      </c>
      <c r="G51" s="32">
        <f t="shared" si="33"/>
        <v>-80.067535635400006</v>
      </c>
      <c r="H51" s="32">
        <f t="shared" si="33"/>
        <v>404.68333333333339</v>
      </c>
      <c r="I51" s="32">
        <f t="shared" si="33"/>
        <v>305.63448264232943</v>
      </c>
      <c r="J51" s="32">
        <f t="shared" si="33"/>
        <v>-99.048850691003935</v>
      </c>
      <c r="K51" s="32">
        <f t="shared" si="33"/>
        <v>847.64390000000003</v>
      </c>
      <c r="L51" s="32">
        <f t="shared" si="33"/>
        <v>603.88005412079997</v>
      </c>
      <c r="M51" s="32">
        <f t="shared" si="33"/>
        <v>-243.76384587920001</v>
      </c>
      <c r="N51" s="32">
        <f t="shared" si="33"/>
        <v>0</v>
      </c>
      <c r="O51" s="32">
        <f t="shared" si="33"/>
        <v>0</v>
      </c>
      <c r="P51" s="32">
        <f t="shared" si="33"/>
        <v>0</v>
      </c>
      <c r="Q51" s="32">
        <f t="shared" si="33"/>
        <v>0</v>
      </c>
      <c r="R51" s="32">
        <f t="shared" si="33"/>
        <v>0</v>
      </c>
      <c r="S51" s="32">
        <f t="shared" si="33"/>
        <v>0</v>
      </c>
      <c r="T51" s="32">
        <f t="shared" si="33"/>
        <v>0</v>
      </c>
      <c r="U51" s="32">
        <f t="shared" si="33"/>
        <v>0</v>
      </c>
      <c r="V51" s="32">
        <f t="shared" si="33"/>
        <v>0</v>
      </c>
      <c r="W51" s="32">
        <f t="shared" si="33"/>
        <v>1252.3272333333334</v>
      </c>
      <c r="X51" s="32">
        <f t="shared" si="33"/>
        <v>909.5145367631294</v>
      </c>
      <c r="Y51" s="32">
        <f t="shared" si="33"/>
        <v>-342.81269657020397</v>
      </c>
      <c r="Z51" s="33"/>
    </row>
    <row r="52" spans="1:28" s="37" customFormat="1" ht="15.95" customHeight="1" x14ac:dyDescent="0.25">
      <c r="A52" s="31"/>
      <c r="B52" s="30" t="s">
        <v>60</v>
      </c>
      <c r="C52" s="32"/>
      <c r="D52" s="32"/>
      <c r="E52" s="32">
        <f>E23+E39+E40+E46+E51</f>
        <v>1085.29</v>
      </c>
      <c r="F52" s="32">
        <f t="shared" ref="F52:Y52" si="34">F23+F39+F40+F46+F51</f>
        <v>896.8933909366001</v>
      </c>
      <c r="G52" s="32">
        <f t="shared" si="34"/>
        <v>-188.39660906340004</v>
      </c>
      <c r="H52" s="32">
        <f t="shared" si="34"/>
        <v>1290.9833333333333</v>
      </c>
      <c r="I52" s="32">
        <f t="shared" si="34"/>
        <v>1153.6456619169294</v>
      </c>
      <c r="J52" s="32">
        <f t="shared" si="34"/>
        <v>-137.33767141640396</v>
      </c>
      <c r="K52" s="32">
        <f t="shared" si="34"/>
        <v>3326.7323999999999</v>
      </c>
      <c r="L52" s="32">
        <f t="shared" si="34"/>
        <v>2757.1665871900004</v>
      </c>
      <c r="M52" s="32">
        <f t="shared" si="34"/>
        <v>-569.56581281000012</v>
      </c>
      <c r="N52" s="32">
        <f t="shared" si="34"/>
        <v>0</v>
      </c>
      <c r="O52" s="32">
        <f t="shared" si="34"/>
        <v>0</v>
      </c>
      <c r="P52" s="32">
        <f t="shared" si="34"/>
        <v>0</v>
      </c>
      <c r="Q52" s="32">
        <f t="shared" si="34"/>
        <v>0</v>
      </c>
      <c r="R52" s="32">
        <f t="shared" si="34"/>
        <v>0</v>
      </c>
      <c r="S52" s="32">
        <f t="shared" si="34"/>
        <v>0</v>
      </c>
      <c r="T52" s="32">
        <f t="shared" si="34"/>
        <v>0</v>
      </c>
      <c r="U52" s="32">
        <f t="shared" si="34"/>
        <v>0</v>
      </c>
      <c r="V52" s="32">
        <f t="shared" si="34"/>
        <v>0</v>
      </c>
      <c r="W52" s="32">
        <f t="shared" si="34"/>
        <v>4617.7157333333334</v>
      </c>
      <c r="X52" s="32">
        <f t="shared" si="34"/>
        <v>3910.8122491069298</v>
      </c>
      <c r="Y52" s="32">
        <f t="shared" si="34"/>
        <v>-706.90348422640398</v>
      </c>
      <c r="Z52" s="33"/>
    </row>
    <row r="53" spans="1:28" s="57" customFormat="1" ht="15.95" customHeight="1" x14ac:dyDescent="0.25">
      <c r="A53" s="52">
        <v>41</v>
      </c>
      <c r="B53" s="86" t="s">
        <v>61</v>
      </c>
      <c r="C53" s="52"/>
      <c r="D53" s="54"/>
      <c r="E53" s="54">
        <v>0</v>
      </c>
      <c r="F53" s="54"/>
      <c r="G53" s="55">
        <f t="shared" si="9"/>
        <v>0</v>
      </c>
      <c r="H53" s="54">
        <v>0</v>
      </c>
      <c r="I53" s="54">
        <v>0</v>
      </c>
      <c r="J53" s="55">
        <f t="shared" si="10"/>
        <v>0</v>
      </c>
      <c r="K53" s="54">
        <v>0</v>
      </c>
      <c r="L53" s="54">
        <v>9.4060520000000007</v>
      </c>
      <c r="M53" s="55">
        <f t="shared" si="11"/>
        <v>9.4060520000000007</v>
      </c>
      <c r="N53" s="71">
        <v>0</v>
      </c>
      <c r="O53" s="71">
        <v>0</v>
      </c>
      <c r="P53" s="55">
        <f>O53-N53</f>
        <v>0</v>
      </c>
      <c r="Q53" s="71">
        <v>0</v>
      </c>
      <c r="R53" s="71">
        <v>0</v>
      </c>
      <c r="S53" s="55">
        <f>R53-Q53</f>
        <v>0</v>
      </c>
      <c r="T53" s="71">
        <v>0</v>
      </c>
      <c r="U53" s="71">
        <v>0</v>
      </c>
      <c r="V53" s="55">
        <f>U53-T53</f>
        <v>0</v>
      </c>
      <c r="W53" s="55">
        <f t="shared" ref="W53:X56" si="35">H53+K53+N53+Q53+T53</f>
        <v>0</v>
      </c>
      <c r="X53" s="55">
        <f t="shared" si="35"/>
        <v>9.4060520000000007</v>
      </c>
      <c r="Y53" s="55">
        <f t="shared" si="16"/>
        <v>9.4060520000000007</v>
      </c>
      <c r="Z53" s="56"/>
    </row>
    <row r="54" spans="1:28" ht="15.95" customHeight="1" x14ac:dyDescent="0.25">
      <c r="A54" s="79">
        <v>42</v>
      </c>
      <c r="B54" s="28" t="s">
        <v>110</v>
      </c>
      <c r="C54" s="79"/>
      <c r="D54" s="78"/>
      <c r="E54" s="78">
        <v>0</v>
      </c>
      <c r="F54" s="78">
        <v>5.95155996</v>
      </c>
      <c r="G54" s="74">
        <f t="shared" si="9"/>
        <v>5.95155996</v>
      </c>
      <c r="H54" s="78">
        <v>0</v>
      </c>
      <c r="I54" s="78">
        <v>0</v>
      </c>
      <c r="J54" s="74">
        <f t="shared" si="10"/>
        <v>0</v>
      </c>
      <c r="K54" s="78">
        <v>0</v>
      </c>
      <c r="L54" s="71">
        <v>21.7200000084</v>
      </c>
      <c r="M54" s="74">
        <f t="shared" si="11"/>
        <v>21.7200000084</v>
      </c>
      <c r="N54" s="71">
        <v>0</v>
      </c>
      <c r="O54" s="71">
        <v>0</v>
      </c>
      <c r="P54" s="74">
        <f t="shared" ref="P54:P56" si="36">O54-N54</f>
        <v>0</v>
      </c>
      <c r="Q54" s="71">
        <v>0</v>
      </c>
      <c r="R54" s="71">
        <v>0</v>
      </c>
      <c r="S54" s="74">
        <f t="shared" ref="S54:S56" si="37">R54-Q54</f>
        <v>0</v>
      </c>
      <c r="T54" s="71">
        <v>0</v>
      </c>
      <c r="U54" s="71">
        <v>0</v>
      </c>
      <c r="V54" s="74">
        <f t="shared" ref="V54:V56" si="38">U54-T54</f>
        <v>0</v>
      </c>
      <c r="W54" s="74">
        <f t="shared" si="35"/>
        <v>0</v>
      </c>
      <c r="X54" s="74">
        <f t="shared" si="35"/>
        <v>21.7200000084</v>
      </c>
      <c r="Y54" s="74">
        <f t="shared" si="16"/>
        <v>21.7200000084</v>
      </c>
      <c r="Z54" s="12"/>
    </row>
    <row r="55" spans="1:28" ht="15.95" customHeight="1" x14ac:dyDescent="0.25">
      <c r="A55" s="79">
        <v>43</v>
      </c>
      <c r="B55" s="28" t="s">
        <v>96</v>
      </c>
      <c r="C55" s="79"/>
      <c r="D55" s="78"/>
      <c r="E55" s="78">
        <v>66.739999999999995</v>
      </c>
      <c r="F55" s="78">
        <v>154.02116005949998</v>
      </c>
      <c r="G55" s="74">
        <f t="shared" si="9"/>
        <v>87.281160059499982</v>
      </c>
      <c r="H55" s="78">
        <v>0</v>
      </c>
      <c r="I55" s="78">
        <v>0</v>
      </c>
      <c r="J55" s="74">
        <f t="shared" si="10"/>
        <v>0</v>
      </c>
      <c r="K55" s="78">
        <f>E55*3.7</f>
        <v>246.93799999999999</v>
      </c>
      <c r="L55" s="71">
        <v>642.29335269053604</v>
      </c>
      <c r="M55" s="74">
        <f t="shared" si="11"/>
        <v>395.35535269053605</v>
      </c>
      <c r="N55" s="71">
        <v>0</v>
      </c>
      <c r="O55" s="71">
        <v>0</v>
      </c>
      <c r="P55" s="74">
        <f t="shared" si="36"/>
        <v>0</v>
      </c>
      <c r="Q55" s="71">
        <v>0</v>
      </c>
      <c r="R55" s="71">
        <v>0</v>
      </c>
      <c r="S55" s="74">
        <f t="shared" si="37"/>
        <v>0</v>
      </c>
      <c r="T55" s="71">
        <v>0</v>
      </c>
      <c r="U55" s="71">
        <v>0</v>
      </c>
      <c r="V55" s="74">
        <f t="shared" si="38"/>
        <v>0</v>
      </c>
      <c r="W55" s="74">
        <f t="shared" si="35"/>
        <v>246.93799999999999</v>
      </c>
      <c r="X55" s="74">
        <f t="shared" si="35"/>
        <v>642.29335269053604</v>
      </c>
      <c r="Y55" s="74">
        <f t="shared" si="16"/>
        <v>395.35535269053605</v>
      </c>
      <c r="Z55" s="12"/>
    </row>
    <row r="56" spans="1:28" ht="15.95" customHeight="1" x14ac:dyDescent="0.25">
      <c r="A56" s="79">
        <v>44</v>
      </c>
      <c r="B56" s="28" t="s">
        <v>21</v>
      </c>
      <c r="C56" s="79"/>
      <c r="D56" s="79"/>
      <c r="E56" s="78">
        <v>191.79</v>
      </c>
      <c r="F56" s="78">
        <v>152.76647290608776</v>
      </c>
      <c r="G56" s="74">
        <f t="shared" si="9"/>
        <v>-39.023527093912236</v>
      </c>
      <c r="H56" s="78">
        <v>0</v>
      </c>
      <c r="I56" s="78">
        <v>0</v>
      </c>
      <c r="J56" s="74">
        <f t="shared" si="10"/>
        <v>0</v>
      </c>
      <c r="K56" s="78">
        <f>E56*2.93</f>
        <v>561.94470000000001</v>
      </c>
      <c r="L56" s="71">
        <v>664.57879969200599</v>
      </c>
      <c r="M56" s="74">
        <f t="shared" si="11"/>
        <v>102.63409969200598</v>
      </c>
      <c r="N56" s="71">
        <v>0</v>
      </c>
      <c r="O56" s="71">
        <v>0</v>
      </c>
      <c r="P56" s="74">
        <f t="shared" si="36"/>
        <v>0</v>
      </c>
      <c r="Q56" s="71">
        <v>0</v>
      </c>
      <c r="R56" s="71">
        <v>0</v>
      </c>
      <c r="S56" s="74">
        <f t="shared" si="37"/>
        <v>0</v>
      </c>
      <c r="T56" s="71">
        <v>0</v>
      </c>
      <c r="U56" s="71">
        <v>0</v>
      </c>
      <c r="V56" s="74">
        <f t="shared" si="38"/>
        <v>0</v>
      </c>
      <c r="W56" s="74">
        <f t="shared" si="35"/>
        <v>561.94470000000001</v>
      </c>
      <c r="X56" s="74">
        <f t="shared" si="35"/>
        <v>664.57879969200599</v>
      </c>
      <c r="Y56" s="74">
        <f t="shared" si="16"/>
        <v>102.63409969200598</v>
      </c>
      <c r="Z56" s="15"/>
    </row>
    <row r="57" spans="1:28" s="43" customFormat="1" ht="15.95" customHeight="1" x14ac:dyDescent="0.25">
      <c r="A57" s="31"/>
      <c r="B57" s="30" t="s">
        <v>62</v>
      </c>
      <c r="C57" s="31"/>
      <c r="D57" s="32"/>
      <c r="E57" s="32">
        <f>SUM(E52:E56)</f>
        <v>1343.82</v>
      </c>
      <c r="F57" s="32">
        <f t="shared" ref="F57:Y57" si="39">SUM(F52:F56)</f>
        <v>1209.6325838621879</v>
      </c>
      <c r="G57" s="32">
        <f t="shared" si="39"/>
        <v>-134.18741613781231</v>
      </c>
      <c r="H57" s="32">
        <f t="shared" si="39"/>
        <v>1290.9833333333333</v>
      </c>
      <c r="I57" s="32">
        <f t="shared" si="39"/>
        <v>1153.6456619169294</v>
      </c>
      <c r="J57" s="32">
        <f t="shared" si="39"/>
        <v>-137.33767141640396</v>
      </c>
      <c r="K57" s="32">
        <f t="shared" si="39"/>
        <v>4135.6151</v>
      </c>
      <c r="L57" s="32">
        <f t="shared" si="39"/>
        <v>4095.1647915809426</v>
      </c>
      <c r="M57" s="32">
        <f t="shared" si="39"/>
        <v>-40.450308419058047</v>
      </c>
      <c r="N57" s="32">
        <f t="shared" si="39"/>
        <v>0</v>
      </c>
      <c r="O57" s="32">
        <f t="shared" si="39"/>
        <v>0</v>
      </c>
      <c r="P57" s="32">
        <f t="shared" si="39"/>
        <v>0</v>
      </c>
      <c r="Q57" s="32">
        <f t="shared" si="39"/>
        <v>0</v>
      </c>
      <c r="R57" s="32">
        <f t="shared" si="39"/>
        <v>0</v>
      </c>
      <c r="S57" s="32">
        <f t="shared" si="39"/>
        <v>0</v>
      </c>
      <c r="T57" s="32">
        <f t="shared" si="39"/>
        <v>0</v>
      </c>
      <c r="U57" s="32">
        <f t="shared" si="39"/>
        <v>0</v>
      </c>
      <c r="V57" s="32">
        <f t="shared" si="39"/>
        <v>0</v>
      </c>
      <c r="W57" s="32">
        <f t="shared" si="39"/>
        <v>5426.5984333333336</v>
      </c>
      <c r="X57" s="32">
        <f t="shared" si="39"/>
        <v>5248.810453497872</v>
      </c>
      <c r="Y57" s="32">
        <f t="shared" si="39"/>
        <v>-177.7879798354619</v>
      </c>
      <c r="Z57" s="42"/>
      <c r="AA57" s="37"/>
      <c r="AB57" s="37"/>
    </row>
    <row r="58" spans="1:28" s="16" customFormat="1" ht="15.95" customHeight="1" x14ac:dyDescent="0.25">
      <c r="A58" s="73">
        <v>45</v>
      </c>
      <c r="B58" s="28" t="s">
        <v>64</v>
      </c>
      <c r="C58" s="79"/>
      <c r="D58" s="79"/>
      <c r="E58" s="78"/>
      <c r="F58" s="78"/>
      <c r="G58" s="74">
        <f t="shared" si="9"/>
        <v>0</v>
      </c>
      <c r="H58" s="78">
        <v>477.37500000000006</v>
      </c>
      <c r="I58" s="71">
        <v>477.37405999999999</v>
      </c>
      <c r="J58" s="74">
        <f t="shared" si="10"/>
        <v>-9.4000000007099516E-4</v>
      </c>
      <c r="K58" s="78">
        <v>0</v>
      </c>
      <c r="L58" s="71">
        <v>0</v>
      </c>
      <c r="M58" s="74">
        <f t="shared" si="11"/>
        <v>0</v>
      </c>
      <c r="N58" s="71">
        <v>0</v>
      </c>
      <c r="O58" s="71">
        <v>0</v>
      </c>
      <c r="P58" s="74">
        <f t="shared" ref="P58:P61" si="40">O58-N58</f>
        <v>0</v>
      </c>
      <c r="Q58" s="71">
        <v>0</v>
      </c>
      <c r="R58" s="71">
        <v>0</v>
      </c>
      <c r="S58" s="74">
        <f t="shared" ref="S58:S61" si="41">R58-Q58</f>
        <v>0</v>
      </c>
      <c r="T58" s="71">
        <v>0</v>
      </c>
      <c r="U58" s="71">
        <v>0</v>
      </c>
      <c r="V58" s="74">
        <f t="shared" ref="V58:V61" si="42">U58-T58</f>
        <v>0</v>
      </c>
      <c r="W58" s="74">
        <f t="shared" ref="W58:X61" si="43">H58+K58+N58+Q58+T58</f>
        <v>477.37500000000006</v>
      </c>
      <c r="X58" s="74">
        <f t="shared" si="43"/>
        <v>477.37405999999999</v>
      </c>
      <c r="Y58" s="74">
        <f t="shared" si="16"/>
        <v>-9.4000000007099516E-4</v>
      </c>
      <c r="Z58" s="15"/>
      <c r="AA58" s="1"/>
      <c r="AB58" s="1"/>
    </row>
    <row r="59" spans="1:28" s="16" customFormat="1" ht="15.95" customHeight="1" x14ac:dyDescent="0.25">
      <c r="A59" s="73">
        <v>46</v>
      </c>
      <c r="B59" s="28" t="s">
        <v>65</v>
      </c>
      <c r="C59" s="79"/>
      <c r="D59" s="79"/>
      <c r="E59" s="78"/>
      <c r="F59" s="78"/>
      <c r="G59" s="74">
        <f t="shared" si="9"/>
        <v>0</v>
      </c>
      <c r="H59" s="78">
        <v>6.8333333333333321</v>
      </c>
      <c r="I59" s="71">
        <v>5.9334939999999996</v>
      </c>
      <c r="J59" s="74">
        <f t="shared" si="10"/>
        <v>-0.89983933333333255</v>
      </c>
      <c r="K59" s="78">
        <v>0</v>
      </c>
      <c r="L59" s="71">
        <v>0</v>
      </c>
      <c r="M59" s="74">
        <f t="shared" si="11"/>
        <v>0</v>
      </c>
      <c r="N59" s="71">
        <v>0</v>
      </c>
      <c r="O59" s="71">
        <v>0</v>
      </c>
      <c r="P59" s="74">
        <f t="shared" si="40"/>
        <v>0</v>
      </c>
      <c r="Q59" s="71">
        <v>0</v>
      </c>
      <c r="R59" s="71">
        <v>0</v>
      </c>
      <c r="S59" s="74">
        <f t="shared" si="41"/>
        <v>0</v>
      </c>
      <c r="T59" s="71">
        <v>0</v>
      </c>
      <c r="U59" s="71">
        <v>0</v>
      </c>
      <c r="V59" s="74">
        <f t="shared" si="42"/>
        <v>0</v>
      </c>
      <c r="W59" s="74">
        <f t="shared" si="43"/>
        <v>6.8333333333333321</v>
      </c>
      <c r="X59" s="74">
        <f t="shared" si="43"/>
        <v>5.9334939999999996</v>
      </c>
      <c r="Y59" s="74">
        <f t="shared" si="16"/>
        <v>-0.89983933333333255</v>
      </c>
      <c r="Z59" s="15"/>
      <c r="AA59" s="1"/>
      <c r="AB59" s="1"/>
    </row>
    <row r="60" spans="1:28" s="16" customFormat="1" ht="15.95" customHeight="1" x14ac:dyDescent="0.25">
      <c r="A60" s="73">
        <v>47</v>
      </c>
      <c r="B60" s="28" t="s">
        <v>66</v>
      </c>
      <c r="C60" s="79"/>
      <c r="D60" s="79"/>
      <c r="E60" s="78"/>
      <c r="F60" s="78"/>
      <c r="G60" s="74">
        <f t="shared" si="9"/>
        <v>0</v>
      </c>
      <c r="H60" s="78">
        <v>288.375</v>
      </c>
      <c r="I60" s="71">
        <v>136.49565917700002</v>
      </c>
      <c r="J60" s="74">
        <f t="shared" si="10"/>
        <v>-151.87934082299998</v>
      </c>
      <c r="K60" s="78">
        <v>0</v>
      </c>
      <c r="L60" s="71">
        <v>0</v>
      </c>
      <c r="M60" s="74">
        <f t="shared" si="11"/>
        <v>0</v>
      </c>
      <c r="N60" s="71">
        <v>0</v>
      </c>
      <c r="O60" s="71">
        <v>0</v>
      </c>
      <c r="P60" s="74">
        <f t="shared" si="40"/>
        <v>0</v>
      </c>
      <c r="Q60" s="71">
        <v>0</v>
      </c>
      <c r="R60" s="71">
        <v>0</v>
      </c>
      <c r="S60" s="74">
        <f t="shared" si="41"/>
        <v>0</v>
      </c>
      <c r="T60" s="71">
        <v>0</v>
      </c>
      <c r="U60" s="71">
        <v>0</v>
      </c>
      <c r="V60" s="74">
        <f t="shared" si="42"/>
        <v>0</v>
      </c>
      <c r="W60" s="74">
        <f t="shared" si="43"/>
        <v>288.375</v>
      </c>
      <c r="X60" s="74">
        <f t="shared" si="43"/>
        <v>136.49565917700002</v>
      </c>
      <c r="Y60" s="74">
        <f t="shared" si="16"/>
        <v>-151.87934082299998</v>
      </c>
      <c r="Z60" s="15"/>
      <c r="AA60" s="1"/>
      <c r="AB60" s="1"/>
    </row>
    <row r="61" spans="1:28" s="16" customFormat="1" ht="15.95" customHeight="1" x14ac:dyDescent="0.25">
      <c r="A61" s="73">
        <v>48</v>
      </c>
      <c r="B61" s="28" t="s">
        <v>67</v>
      </c>
      <c r="C61" s="79"/>
      <c r="D61" s="79"/>
      <c r="E61" s="78"/>
      <c r="F61" s="78"/>
      <c r="G61" s="74">
        <f t="shared" si="9"/>
        <v>0</v>
      </c>
      <c r="H61" s="78">
        <v>2.8833333333333333</v>
      </c>
      <c r="I61" s="71">
        <v>0.57388686851426607</v>
      </c>
      <c r="J61" s="74">
        <f t="shared" si="10"/>
        <v>-2.3094464648190671</v>
      </c>
      <c r="K61" s="78">
        <v>0</v>
      </c>
      <c r="L61" s="71">
        <v>0</v>
      </c>
      <c r="M61" s="74">
        <f t="shared" si="11"/>
        <v>0</v>
      </c>
      <c r="N61" s="71">
        <v>0</v>
      </c>
      <c r="O61" s="71">
        <v>0</v>
      </c>
      <c r="P61" s="74">
        <f t="shared" si="40"/>
        <v>0</v>
      </c>
      <c r="Q61" s="71">
        <v>0</v>
      </c>
      <c r="R61" s="71">
        <v>0</v>
      </c>
      <c r="S61" s="74">
        <f t="shared" si="41"/>
        <v>0</v>
      </c>
      <c r="T61" s="71">
        <v>0</v>
      </c>
      <c r="U61" s="71">
        <v>0</v>
      </c>
      <c r="V61" s="74">
        <f t="shared" si="42"/>
        <v>0</v>
      </c>
      <c r="W61" s="74">
        <f t="shared" si="43"/>
        <v>2.8833333333333333</v>
      </c>
      <c r="X61" s="74">
        <f t="shared" si="43"/>
        <v>0.57388686851426607</v>
      </c>
      <c r="Y61" s="74">
        <f t="shared" si="16"/>
        <v>-2.3094464648190671</v>
      </c>
      <c r="Z61" s="15"/>
      <c r="AA61" s="1"/>
      <c r="AB61" s="1"/>
    </row>
    <row r="62" spans="1:28" s="37" customFormat="1" ht="25.5" x14ac:dyDescent="0.25">
      <c r="A62" s="31"/>
      <c r="B62" s="30" t="s">
        <v>68</v>
      </c>
      <c r="C62" s="31"/>
      <c r="D62" s="31"/>
      <c r="E62" s="32">
        <f>SUM(E58:E61)</f>
        <v>0</v>
      </c>
      <c r="F62" s="32">
        <f t="shared" ref="F62:Y62" si="44">SUM(F58:F61)</f>
        <v>0</v>
      </c>
      <c r="G62" s="32">
        <f t="shared" si="44"/>
        <v>0</v>
      </c>
      <c r="H62" s="32">
        <f t="shared" si="44"/>
        <v>775.4666666666667</v>
      </c>
      <c r="I62" s="32">
        <f t="shared" si="44"/>
        <v>620.37710004551423</v>
      </c>
      <c r="J62" s="32">
        <f t="shared" si="44"/>
        <v>-155.08956662115247</v>
      </c>
      <c r="K62" s="32">
        <f t="shared" si="44"/>
        <v>0</v>
      </c>
      <c r="L62" s="32">
        <f t="shared" si="44"/>
        <v>0</v>
      </c>
      <c r="M62" s="32">
        <f t="shared" si="44"/>
        <v>0</v>
      </c>
      <c r="N62" s="32">
        <f t="shared" si="44"/>
        <v>0</v>
      </c>
      <c r="O62" s="32">
        <f t="shared" si="44"/>
        <v>0</v>
      </c>
      <c r="P62" s="32">
        <f t="shared" si="44"/>
        <v>0</v>
      </c>
      <c r="Q62" s="32">
        <f t="shared" si="44"/>
        <v>0</v>
      </c>
      <c r="R62" s="32">
        <f t="shared" si="44"/>
        <v>0</v>
      </c>
      <c r="S62" s="32">
        <f t="shared" si="44"/>
        <v>0</v>
      </c>
      <c r="T62" s="32">
        <f t="shared" si="44"/>
        <v>0</v>
      </c>
      <c r="U62" s="32">
        <f t="shared" si="44"/>
        <v>0</v>
      </c>
      <c r="V62" s="32">
        <f t="shared" si="44"/>
        <v>0</v>
      </c>
      <c r="W62" s="32">
        <f t="shared" si="44"/>
        <v>775.4666666666667</v>
      </c>
      <c r="X62" s="32">
        <f t="shared" si="44"/>
        <v>620.37710004551423</v>
      </c>
      <c r="Y62" s="32">
        <f t="shared" si="44"/>
        <v>-155.08956662115247</v>
      </c>
      <c r="Z62" s="34"/>
    </row>
    <row r="63" spans="1:28" s="37" customFormat="1" ht="15.95" customHeight="1" x14ac:dyDescent="0.25">
      <c r="A63" s="31"/>
      <c r="B63" s="30" t="s">
        <v>69</v>
      </c>
      <c r="C63" s="31"/>
      <c r="D63" s="31"/>
      <c r="E63" s="32">
        <f>E57+E62</f>
        <v>1343.82</v>
      </c>
      <c r="F63" s="32">
        <f t="shared" ref="F63:Y63" si="45">F57+F62</f>
        <v>1209.6325838621879</v>
      </c>
      <c r="G63" s="32">
        <f t="shared" si="45"/>
        <v>-134.18741613781231</v>
      </c>
      <c r="H63" s="32">
        <f t="shared" si="45"/>
        <v>2066.4499999999998</v>
      </c>
      <c r="I63" s="32">
        <f t="shared" si="45"/>
        <v>1774.0227619624436</v>
      </c>
      <c r="J63" s="32">
        <f t="shared" si="45"/>
        <v>-292.42723803755644</v>
      </c>
      <c r="K63" s="32">
        <f t="shared" si="45"/>
        <v>4135.6151</v>
      </c>
      <c r="L63" s="32">
        <f t="shared" si="45"/>
        <v>4095.1647915809426</v>
      </c>
      <c r="M63" s="32">
        <f t="shared" si="45"/>
        <v>-40.450308419058047</v>
      </c>
      <c r="N63" s="32">
        <f t="shared" si="45"/>
        <v>0</v>
      </c>
      <c r="O63" s="32">
        <f t="shared" si="45"/>
        <v>0</v>
      </c>
      <c r="P63" s="32">
        <f t="shared" si="45"/>
        <v>0</v>
      </c>
      <c r="Q63" s="32">
        <f t="shared" si="45"/>
        <v>0</v>
      </c>
      <c r="R63" s="32">
        <f t="shared" si="45"/>
        <v>0</v>
      </c>
      <c r="S63" s="32">
        <f t="shared" si="45"/>
        <v>0</v>
      </c>
      <c r="T63" s="32">
        <f t="shared" si="45"/>
        <v>0</v>
      </c>
      <c r="U63" s="32">
        <f t="shared" si="45"/>
        <v>0</v>
      </c>
      <c r="V63" s="32">
        <f t="shared" si="45"/>
        <v>0</v>
      </c>
      <c r="W63" s="32">
        <f t="shared" si="45"/>
        <v>6202.0650999999998</v>
      </c>
      <c r="X63" s="32">
        <f t="shared" si="45"/>
        <v>5869.1875535433865</v>
      </c>
      <c r="Y63" s="32">
        <f t="shared" si="45"/>
        <v>-332.87754645661437</v>
      </c>
      <c r="Z63" s="34"/>
    </row>
    <row r="64" spans="1:28" ht="21.75" customHeight="1" x14ac:dyDescent="0.25">
      <c r="B64" s="101" t="s">
        <v>90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2"/>
    </row>
    <row r="65" spans="3:26" ht="21.75" customHeight="1" x14ac:dyDescent="0.25">
      <c r="N65" s="5"/>
      <c r="O65" s="5"/>
      <c r="P65" s="6"/>
      <c r="Q65" s="5"/>
      <c r="R65" s="5"/>
      <c r="S65" s="6"/>
      <c r="T65" s="5"/>
      <c r="U65" s="5"/>
      <c r="V65" s="6"/>
      <c r="W65" s="6"/>
      <c r="X65" s="6"/>
      <c r="Y65" s="6"/>
      <c r="Z65" s="12"/>
    </row>
    <row r="66" spans="3:26" ht="21.75" customHeight="1" x14ac:dyDescent="0.25">
      <c r="N66" s="5"/>
      <c r="O66" s="5"/>
      <c r="P66" s="6"/>
      <c r="Q66" s="5"/>
      <c r="R66" s="5"/>
      <c r="S66" s="6"/>
      <c r="T66" s="5"/>
      <c r="U66" s="5"/>
      <c r="V66" s="6"/>
      <c r="W66" s="6"/>
      <c r="X66" s="6"/>
      <c r="Y66" s="6"/>
      <c r="Z66" s="12"/>
    </row>
    <row r="67" spans="3:26" ht="21.75" customHeight="1" x14ac:dyDescent="0.25">
      <c r="N67" s="5"/>
      <c r="O67" s="5"/>
      <c r="P67" s="6"/>
      <c r="Q67" s="5"/>
      <c r="R67" s="5"/>
      <c r="S67" s="6"/>
      <c r="T67" s="5"/>
      <c r="U67" s="5"/>
      <c r="V67" s="6"/>
      <c r="W67" s="6"/>
      <c r="X67" s="6"/>
      <c r="Y67" s="6"/>
      <c r="Z67" s="12"/>
    </row>
    <row r="68" spans="3:26" ht="21.75" customHeight="1" x14ac:dyDescent="0.25">
      <c r="N68" s="5"/>
      <c r="O68" s="5"/>
      <c r="P68" s="6"/>
      <c r="Q68" s="5"/>
      <c r="R68" s="5"/>
      <c r="S68" s="6"/>
      <c r="T68" s="5"/>
      <c r="U68" s="5"/>
      <c r="V68" s="6"/>
      <c r="W68" s="6"/>
      <c r="X68" s="6"/>
      <c r="Y68" s="6"/>
      <c r="Z68" s="12"/>
    </row>
    <row r="69" spans="3:26" ht="21.75" customHeight="1" x14ac:dyDescent="0.25">
      <c r="N69" s="5"/>
      <c r="O69" s="5"/>
      <c r="P69" s="6"/>
      <c r="Q69" s="5"/>
      <c r="R69" s="5"/>
      <c r="S69" s="6"/>
      <c r="T69" s="5"/>
      <c r="U69" s="5"/>
      <c r="V69" s="6"/>
      <c r="W69" s="6"/>
      <c r="X69" s="6"/>
      <c r="Y69" s="6"/>
      <c r="Z69" s="12"/>
    </row>
    <row r="70" spans="3:26" ht="21.75" customHeight="1" x14ac:dyDescent="0.25">
      <c r="N70" s="5"/>
      <c r="O70" s="5"/>
      <c r="P70" s="6"/>
      <c r="Q70" s="5"/>
      <c r="R70" s="5"/>
      <c r="S70" s="6"/>
      <c r="T70" s="5"/>
      <c r="U70" s="5"/>
      <c r="V70" s="6"/>
      <c r="W70" s="6"/>
      <c r="X70" s="6"/>
      <c r="Y70" s="6"/>
      <c r="Z70" s="12"/>
    </row>
    <row r="71" spans="3:26" ht="21.75" customHeight="1" x14ac:dyDescent="0.25">
      <c r="N71" s="5"/>
      <c r="O71" s="5"/>
      <c r="P71" s="6"/>
      <c r="Q71" s="5"/>
      <c r="R71" s="5"/>
      <c r="S71" s="6"/>
      <c r="T71" s="5"/>
      <c r="U71" s="5"/>
      <c r="V71" s="6"/>
      <c r="W71" s="6"/>
      <c r="X71" s="6"/>
      <c r="Y71" s="6"/>
      <c r="Z71" s="12"/>
    </row>
    <row r="72" spans="3:26" ht="21.75" customHeight="1" x14ac:dyDescent="0.25">
      <c r="N72" s="5"/>
      <c r="O72" s="5"/>
      <c r="P72" s="6"/>
      <c r="Q72" s="5"/>
      <c r="R72" s="5"/>
      <c r="S72" s="6"/>
      <c r="T72" s="5"/>
      <c r="U72" s="5"/>
      <c r="V72" s="6"/>
      <c r="W72" s="6"/>
      <c r="X72" s="6"/>
      <c r="Y72" s="6"/>
      <c r="Z72" s="12"/>
    </row>
    <row r="73" spans="3:26" ht="21.75" customHeight="1" x14ac:dyDescent="0.25">
      <c r="C73" s="9"/>
      <c r="D73" s="9"/>
      <c r="E73" s="10"/>
      <c r="F73" s="10"/>
      <c r="G73" s="11"/>
      <c r="H73" s="10"/>
      <c r="I73" s="8"/>
      <c r="J73" s="11"/>
      <c r="K73" s="8"/>
      <c r="L73" s="8"/>
      <c r="N73" s="5"/>
      <c r="O73" s="5"/>
      <c r="P73" s="6"/>
      <c r="Q73" s="5"/>
      <c r="R73" s="5"/>
      <c r="S73" s="6"/>
      <c r="T73" s="5"/>
      <c r="U73" s="5"/>
      <c r="V73" s="6"/>
      <c r="W73" s="6"/>
      <c r="X73" s="6"/>
      <c r="Y73" s="6"/>
      <c r="Z73" s="12"/>
    </row>
    <row r="74" spans="3:26" ht="21.75" customHeight="1" x14ac:dyDescent="0.25">
      <c r="N74" s="5"/>
      <c r="O74" s="5"/>
      <c r="P74" s="6"/>
      <c r="Q74" s="5"/>
      <c r="R74" s="5"/>
      <c r="S74" s="6"/>
      <c r="T74" s="5"/>
      <c r="U74" s="5"/>
      <c r="V74" s="6"/>
      <c r="W74" s="6"/>
      <c r="X74" s="6"/>
      <c r="Y74" s="6"/>
      <c r="Z74" s="12"/>
    </row>
    <row r="75" spans="3:26" ht="21.75" customHeight="1" x14ac:dyDescent="0.25">
      <c r="N75" s="5"/>
      <c r="O75" s="5"/>
      <c r="P75" s="6"/>
      <c r="Q75" s="5"/>
      <c r="R75" s="5"/>
      <c r="S75" s="6"/>
      <c r="T75" s="5"/>
      <c r="U75" s="5"/>
      <c r="V75" s="6"/>
      <c r="W75" s="6"/>
      <c r="X75" s="6"/>
      <c r="Y75" s="6"/>
      <c r="Z75" s="12"/>
    </row>
    <row r="76" spans="3:26" ht="21.75" customHeight="1" x14ac:dyDescent="0.25">
      <c r="N76" s="5"/>
      <c r="O76" s="5"/>
      <c r="P76" s="6"/>
      <c r="Q76" s="5"/>
      <c r="R76" s="5"/>
      <c r="S76" s="6"/>
      <c r="T76" s="5"/>
      <c r="U76" s="5"/>
      <c r="V76" s="6"/>
      <c r="W76" s="6"/>
      <c r="X76" s="6"/>
      <c r="Y76" s="6"/>
      <c r="Z76" s="12"/>
    </row>
    <row r="77" spans="3:26" ht="21.75" customHeight="1" x14ac:dyDescent="0.25">
      <c r="N77" s="5"/>
      <c r="O77" s="5"/>
      <c r="P77" s="6"/>
      <c r="Q77" s="5"/>
      <c r="R77" s="5"/>
      <c r="S77" s="6"/>
      <c r="T77" s="5"/>
      <c r="U77" s="5"/>
      <c r="V77" s="6"/>
      <c r="W77" s="6"/>
      <c r="X77" s="6"/>
      <c r="Y77" s="6"/>
      <c r="Z77" s="12"/>
    </row>
    <row r="78" spans="3:26" ht="21.75" customHeight="1" x14ac:dyDescent="0.25">
      <c r="N78" s="5"/>
      <c r="O78" s="5"/>
      <c r="P78" s="6"/>
      <c r="Q78" s="5"/>
      <c r="R78" s="5"/>
      <c r="S78" s="6"/>
      <c r="T78" s="5"/>
      <c r="U78" s="5"/>
      <c r="V78" s="6"/>
      <c r="W78" s="6"/>
      <c r="X78" s="6"/>
      <c r="Y78" s="6"/>
      <c r="Z78" s="12"/>
    </row>
    <row r="79" spans="3:26" ht="21.75" customHeight="1" x14ac:dyDescent="0.25">
      <c r="N79" s="5"/>
      <c r="O79" s="5"/>
      <c r="P79" s="6"/>
      <c r="Q79" s="5"/>
      <c r="R79" s="5"/>
      <c r="S79" s="6"/>
      <c r="T79" s="5"/>
      <c r="U79" s="5"/>
      <c r="V79" s="6"/>
      <c r="W79" s="6"/>
      <c r="X79" s="6"/>
      <c r="Y79" s="6"/>
      <c r="Z79" s="12"/>
    </row>
    <row r="80" spans="3:26" ht="21.75" customHeight="1" x14ac:dyDescent="0.25">
      <c r="N80" s="5"/>
      <c r="O80" s="5"/>
      <c r="P80" s="6"/>
      <c r="Q80" s="5"/>
      <c r="R80" s="5"/>
      <c r="S80" s="6"/>
      <c r="T80" s="5"/>
      <c r="U80" s="5"/>
      <c r="V80" s="6"/>
      <c r="W80" s="6"/>
      <c r="X80" s="6"/>
      <c r="Y80" s="6"/>
      <c r="Z80" s="12"/>
    </row>
    <row r="81" spans="3:26" ht="21.75" customHeight="1" x14ac:dyDescent="0.25">
      <c r="N81" s="5"/>
      <c r="O81" s="5"/>
      <c r="P81" s="6"/>
      <c r="Q81" s="5"/>
      <c r="R81" s="5"/>
      <c r="S81" s="6"/>
      <c r="T81" s="5"/>
      <c r="U81" s="5"/>
      <c r="V81" s="6"/>
      <c r="W81" s="6"/>
      <c r="X81" s="6"/>
      <c r="Y81" s="6"/>
      <c r="Z81" s="12"/>
    </row>
    <row r="82" spans="3:26" ht="21.75" customHeight="1" x14ac:dyDescent="0.25">
      <c r="N82" s="5"/>
      <c r="O82" s="5"/>
      <c r="P82" s="6"/>
      <c r="Q82" s="5"/>
      <c r="R82" s="5"/>
      <c r="S82" s="6"/>
      <c r="T82" s="5"/>
      <c r="U82" s="5"/>
      <c r="V82" s="6"/>
      <c r="W82" s="6"/>
      <c r="X82" s="6"/>
      <c r="Y82" s="6"/>
      <c r="Z82" s="12"/>
    </row>
    <row r="83" spans="3:26" ht="21.75" customHeight="1" x14ac:dyDescent="0.25">
      <c r="N83" s="5"/>
      <c r="O83" s="5"/>
      <c r="P83" s="6"/>
      <c r="Q83" s="5"/>
      <c r="R83" s="5"/>
      <c r="S83" s="6"/>
      <c r="T83" s="5"/>
      <c r="U83" s="5"/>
      <c r="V83" s="6"/>
      <c r="W83" s="6"/>
      <c r="X83" s="6"/>
      <c r="Y83" s="6"/>
      <c r="Z83" s="12"/>
    </row>
    <row r="84" spans="3:26" ht="21.75" customHeight="1" x14ac:dyDescent="0.25">
      <c r="N84" s="5"/>
      <c r="O84" s="5"/>
      <c r="P84" s="6"/>
      <c r="Q84" s="5"/>
      <c r="R84" s="5"/>
      <c r="S84" s="6"/>
      <c r="T84" s="5"/>
      <c r="U84" s="5"/>
      <c r="V84" s="6"/>
      <c r="W84" s="6"/>
      <c r="X84" s="6"/>
      <c r="Y84" s="6"/>
      <c r="Z84" s="12"/>
    </row>
    <row r="85" spans="3:26" ht="21.75" customHeight="1" x14ac:dyDescent="0.25">
      <c r="N85" s="5"/>
      <c r="O85" s="5"/>
      <c r="P85" s="6"/>
      <c r="Q85" s="5"/>
      <c r="R85" s="5"/>
      <c r="S85" s="6"/>
      <c r="T85" s="5"/>
      <c r="U85" s="5"/>
      <c r="V85" s="6"/>
      <c r="W85" s="6"/>
      <c r="X85" s="6"/>
      <c r="Y85" s="6"/>
      <c r="Z85" s="12"/>
    </row>
    <row r="86" spans="3:26" ht="21.75" customHeight="1" x14ac:dyDescent="0.25">
      <c r="N86" s="5"/>
      <c r="O86" s="5"/>
      <c r="P86" s="6"/>
      <c r="Q86" s="5"/>
      <c r="R86" s="5"/>
      <c r="S86" s="6"/>
      <c r="T86" s="5"/>
      <c r="U86" s="5"/>
      <c r="V86" s="6"/>
      <c r="W86" s="6"/>
      <c r="X86" s="6"/>
      <c r="Y86" s="6"/>
      <c r="Z86" s="12"/>
    </row>
    <row r="87" spans="3:26" ht="21.75" customHeight="1" x14ac:dyDescent="0.25">
      <c r="N87" s="5"/>
      <c r="O87" s="5"/>
      <c r="P87" s="6"/>
      <c r="Q87" s="5"/>
      <c r="R87" s="5"/>
      <c r="S87" s="6"/>
      <c r="T87" s="5"/>
      <c r="U87" s="5"/>
      <c r="V87" s="6"/>
      <c r="W87" s="6"/>
      <c r="X87" s="6"/>
      <c r="Y87" s="6"/>
      <c r="Z87" s="12"/>
    </row>
    <row r="88" spans="3:26" ht="21.75" customHeight="1" x14ac:dyDescent="0.25">
      <c r="N88" s="5"/>
      <c r="O88" s="5"/>
      <c r="P88" s="6"/>
      <c r="Q88" s="5"/>
      <c r="R88" s="5"/>
      <c r="S88" s="6"/>
      <c r="T88" s="5"/>
      <c r="U88" s="5"/>
      <c r="V88" s="6"/>
      <c r="W88" s="6"/>
      <c r="X88" s="6"/>
      <c r="Y88" s="6"/>
      <c r="Z88" s="12"/>
    </row>
    <row r="89" spans="3:26" ht="21.75" customHeight="1" x14ac:dyDescent="0.25">
      <c r="N89" s="5"/>
      <c r="O89" s="5"/>
      <c r="P89" s="6"/>
      <c r="Q89" s="5"/>
      <c r="R89" s="5"/>
      <c r="S89" s="6"/>
      <c r="T89" s="5"/>
      <c r="U89" s="5"/>
      <c r="V89" s="6"/>
      <c r="W89" s="6"/>
      <c r="X89" s="6"/>
      <c r="Y89" s="6"/>
      <c r="Z89" s="12"/>
    </row>
    <row r="90" spans="3:26" ht="21.75" customHeight="1" x14ac:dyDescent="0.25">
      <c r="N90" s="5"/>
      <c r="O90" s="5"/>
      <c r="P90" s="6"/>
      <c r="Q90" s="5"/>
      <c r="R90" s="5"/>
      <c r="S90" s="6"/>
      <c r="T90" s="5"/>
      <c r="U90" s="5"/>
      <c r="V90" s="6"/>
      <c r="W90" s="6"/>
      <c r="X90" s="6"/>
      <c r="Y90" s="6"/>
      <c r="Z90" s="12"/>
    </row>
    <row r="91" spans="3:26" ht="21.75" customHeight="1" x14ac:dyDescent="0.25">
      <c r="C91" s="9"/>
      <c r="D91" s="9"/>
      <c r="E91" s="10"/>
      <c r="F91" s="10"/>
      <c r="G91" s="11"/>
      <c r="H91" s="10"/>
      <c r="I91" s="8"/>
      <c r="J91" s="11"/>
      <c r="K91" s="8"/>
      <c r="L91" s="8"/>
      <c r="M91" s="11"/>
      <c r="N91" s="8"/>
      <c r="O91" s="8"/>
      <c r="P91" s="11"/>
      <c r="Q91" s="8"/>
      <c r="R91" s="8"/>
      <c r="S91" s="11"/>
      <c r="T91" s="8"/>
      <c r="U91" s="8"/>
      <c r="V91" s="11"/>
      <c r="W91" s="6"/>
      <c r="X91" s="6"/>
      <c r="Y91" s="6"/>
      <c r="Z91" s="10"/>
    </row>
    <row r="92" spans="3:26" ht="21.75" customHeight="1" x14ac:dyDescent="0.25">
      <c r="C92" s="9"/>
      <c r="D92" s="9"/>
      <c r="E92" s="10"/>
      <c r="F92" s="10"/>
      <c r="G92" s="11"/>
      <c r="H92" s="10"/>
      <c r="I92" s="8"/>
      <c r="J92" s="11"/>
      <c r="K92" s="8"/>
      <c r="L92" s="8"/>
      <c r="M92" s="11"/>
      <c r="N92" s="8"/>
      <c r="O92" s="8"/>
      <c r="P92" s="11"/>
      <c r="Q92" s="8"/>
      <c r="R92" s="8"/>
      <c r="S92" s="11"/>
      <c r="T92" s="8"/>
      <c r="U92" s="8"/>
      <c r="V92" s="11"/>
      <c r="W92" s="6"/>
      <c r="X92" s="6"/>
      <c r="Y92" s="6"/>
      <c r="Z92" s="10"/>
    </row>
    <row r="93" spans="3:26" ht="21.75" customHeight="1" x14ac:dyDescent="0.25">
      <c r="N93" s="5"/>
      <c r="O93" s="5"/>
      <c r="P93" s="6"/>
      <c r="Q93" s="5"/>
      <c r="R93" s="5"/>
      <c r="S93" s="6"/>
      <c r="T93" s="5"/>
      <c r="U93" s="5"/>
      <c r="V93" s="6"/>
      <c r="W93" s="6"/>
      <c r="X93" s="6"/>
      <c r="Y93" s="6"/>
      <c r="Z93" s="12"/>
    </row>
    <row r="94" spans="3:26" ht="21.75" customHeight="1" x14ac:dyDescent="0.25">
      <c r="N94" s="5"/>
      <c r="O94" s="5"/>
      <c r="P94" s="6"/>
      <c r="Q94" s="5"/>
      <c r="R94" s="5"/>
      <c r="S94" s="6"/>
      <c r="T94" s="5"/>
      <c r="U94" s="5"/>
      <c r="V94" s="6"/>
      <c r="W94" s="6"/>
      <c r="X94" s="6"/>
      <c r="Y94" s="6"/>
      <c r="Z94" s="12"/>
    </row>
    <row r="95" spans="3:26" ht="21.75" customHeight="1" x14ac:dyDescent="0.25">
      <c r="N95" s="5"/>
      <c r="O95" s="5"/>
      <c r="P95" s="6"/>
      <c r="Q95" s="5"/>
      <c r="R95" s="5"/>
      <c r="S95" s="6"/>
      <c r="T95" s="5"/>
      <c r="U95" s="5"/>
      <c r="V95" s="6"/>
      <c r="W95" s="6"/>
      <c r="X95" s="6"/>
      <c r="Y95" s="6"/>
      <c r="Z95" s="12"/>
    </row>
    <row r="96" spans="3:26" ht="21.75" customHeight="1" x14ac:dyDescent="0.25">
      <c r="N96" s="5"/>
      <c r="O96" s="5"/>
      <c r="P96" s="6"/>
      <c r="Q96" s="5"/>
      <c r="R96" s="5"/>
      <c r="S96" s="6"/>
      <c r="T96" s="5"/>
      <c r="U96" s="5"/>
      <c r="V96" s="6"/>
      <c r="W96" s="6"/>
      <c r="X96" s="6"/>
      <c r="Y96" s="6"/>
      <c r="Z96" s="12"/>
    </row>
    <row r="97" spans="14:26" ht="21.75" customHeight="1" x14ac:dyDescent="0.25">
      <c r="N97" s="5"/>
      <c r="O97" s="5"/>
      <c r="P97" s="6"/>
      <c r="Q97" s="5"/>
      <c r="R97" s="5"/>
      <c r="S97" s="6"/>
      <c r="T97" s="5"/>
      <c r="U97" s="5"/>
      <c r="V97" s="6"/>
      <c r="W97" s="6"/>
      <c r="X97" s="6"/>
      <c r="Y97" s="6"/>
      <c r="Z97" s="12"/>
    </row>
    <row r="98" spans="14:26" ht="21.75" customHeight="1" x14ac:dyDescent="0.25">
      <c r="N98" s="5"/>
      <c r="O98" s="5"/>
      <c r="P98" s="6"/>
      <c r="Q98" s="5"/>
      <c r="R98" s="5"/>
      <c r="S98" s="6"/>
      <c r="T98" s="5"/>
      <c r="U98" s="5"/>
      <c r="V98" s="6"/>
      <c r="W98" s="6"/>
      <c r="X98" s="6"/>
      <c r="Y98" s="6"/>
      <c r="Z98" s="12"/>
    </row>
    <row r="99" spans="14:26" ht="21.75" customHeight="1" x14ac:dyDescent="0.25">
      <c r="N99" s="5"/>
      <c r="O99" s="5"/>
      <c r="P99" s="6"/>
      <c r="Q99" s="5"/>
      <c r="R99" s="5"/>
      <c r="S99" s="6"/>
      <c r="T99" s="5"/>
      <c r="U99" s="5"/>
      <c r="V99" s="6"/>
      <c r="W99" s="6"/>
      <c r="X99" s="6"/>
      <c r="Y99" s="6"/>
      <c r="Z99" s="12"/>
    </row>
    <row r="100" spans="14:26" ht="21.75" customHeight="1" x14ac:dyDescent="0.25">
      <c r="N100" s="5"/>
      <c r="O100" s="5"/>
      <c r="P100" s="6"/>
      <c r="Q100" s="5"/>
      <c r="R100" s="5"/>
      <c r="S100" s="6"/>
      <c r="T100" s="5"/>
      <c r="U100" s="5"/>
      <c r="V100" s="6"/>
      <c r="W100" s="6"/>
      <c r="X100" s="6"/>
      <c r="Y100" s="6"/>
      <c r="Z100" s="12"/>
    </row>
    <row r="101" spans="14:26" ht="21.75" customHeight="1" x14ac:dyDescent="0.25">
      <c r="W101" s="6"/>
      <c r="X101" s="6"/>
      <c r="Y101" s="6"/>
    </row>
    <row r="102" spans="14:26" ht="21.75" customHeight="1" x14ac:dyDescent="0.25">
      <c r="N102" s="5"/>
      <c r="O102" s="5"/>
      <c r="P102" s="6"/>
      <c r="Q102" s="5"/>
      <c r="R102" s="5"/>
      <c r="S102" s="6"/>
      <c r="T102" s="5"/>
      <c r="U102" s="5"/>
      <c r="V102" s="6"/>
      <c r="W102" s="6"/>
      <c r="X102" s="6"/>
      <c r="Y102" s="6"/>
      <c r="Z102" s="10"/>
    </row>
    <row r="103" spans="14:26" ht="21.75" customHeight="1" x14ac:dyDescent="0.25">
      <c r="W103" s="6"/>
      <c r="X103" s="6"/>
      <c r="Y103" s="6"/>
      <c r="Z103" s="12"/>
    </row>
  </sheetData>
  <mergeCells count="40">
    <mergeCell ref="A1:Y1"/>
    <mergeCell ref="A2:A4"/>
    <mergeCell ref="T3:V3"/>
    <mergeCell ref="W3:Y3"/>
    <mergeCell ref="B2:B4"/>
    <mergeCell ref="C2:C4"/>
    <mergeCell ref="D2:D4"/>
    <mergeCell ref="E2:G2"/>
    <mergeCell ref="H2:Y2"/>
    <mergeCell ref="E3:E4"/>
    <mergeCell ref="F3:F4"/>
    <mergeCell ref="G3:G4"/>
    <mergeCell ref="B64:Y64"/>
    <mergeCell ref="H3:J3"/>
    <mergeCell ref="K3:M3"/>
    <mergeCell ref="N3:P3"/>
    <mergeCell ref="Q3:S3"/>
    <mergeCell ref="I35:I36"/>
    <mergeCell ref="L35:L36"/>
    <mergeCell ref="F35:F36"/>
    <mergeCell ref="C35:C36"/>
    <mergeCell ref="D35:D36"/>
    <mergeCell ref="E35:E36"/>
    <mergeCell ref="G35:G36"/>
    <mergeCell ref="H35:H36"/>
    <mergeCell ref="J35:J36"/>
    <mergeCell ref="K35:K36"/>
    <mergeCell ref="M35:M36"/>
    <mergeCell ref="N35:N36"/>
    <mergeCell ref="O35:O36"/>
    <mergeCell ref="P35:P36"/>
    <mergeCell ref="Q35:Q36"/>
    <mergeCell ref="R35:R36"/>
    <mergeCell ref="X35:X36"/>
    <mergeCell ref="Y35:Y36"/>
    <mergeCell ref="S35:S36"/>
    <mergeCell ref="T35:T36"/>
    <mergeCell ref="U35:U36"/>
    <mergeCell ref="V35:V36"/>
    <mergeCell ref="W35:W36"/>
  </mergeCells>
  <printOptions horizontalCentered="1"/>
  <pageMargins left="0.59055118110236227" right="0.39370078740157483" top="0.19685039370078741" bottom="0.19685039370078741" header="0" footer="0"/>
  <pageSetup paperSize="5" scale="75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B102"/>
  <sheetViews>
    <sheetView view="pageBreakPreview" topLeftCell="A40" zoomScaleSheetLayoutView="100" workbookViewId="0">
      <selection activeCell="B9" sqref="B9"/>
    </sheetView>
  </sheetViews>
  <sheetFormatPr defaultRowHeight="12.75" x14ac:dyDescent="0.25"/>
  <cols>
    <col min="1" max="1" width="5" style="1" customWidth="1"/>
    <col min="2" max="2" width="33.42578125" style="20" customWidth="1"/>
    <col min="3" max="3" width="9.7109375" style="1" customWidth="1"/>
    <col min="4" max="4" width="9.5703125" style="1" customWidth="1"/>
    <col min="5" max="5" width="7.5703125" style="12" bestFit="1" customWidth="1"/>
    <col min="6" max="6" width="9" style="12" customWidth="1"/>
    <col min="7" max="7" width="9.85546875" style="6" customWidth="1"/>
    <col min="8" max="8" width="7.5703125" style="12" bestFit="1" customWidth="1"/>
    <col min="9" max="9" width="9" style="5" customWidth="1"/>
    <col min="10" max="10" width="9.140625" style="6" customWidth="1"/>
    <col min="11" max="12" width="7.5703125" style="5" bestFit="1" customWidth="1"/>
    <col min="13" max="13" width="9.140625" style="6" customWidth="1"/>
    <col min="14" max="14" width="4.5703125" style="4" customWidth="1"/>
    <col min="15" max="15" width="6.7109375" style="4" customWidth="1"/>
    <col min="16" max="16" width="9.140625" style="75" customWidth="1"/>
    <col min="17" max="17" width="4.5703125" style="4" customWidth="1"/>
    <col min="18" max="18" width="6.7109375" style="4" customWidth="1"/>
    <col min="19" max="19" width="9.140625" style="75" customWidth="1"/>
    <col min="20" max="20" width="4.5703125" style="4" customWidth="1"/>
    <col min="21" max="21" width="6.7109375" style="4" customWidth="1"/>
    <col min="22" max="22" width="9.140625" style="75" customWidth="1"/>
    <col min="23" max="24" width="7.5703125" style="75" bestFit="1" customWidth="1"/>
    <col min="25" max="25" width="9.140625" style="75" customWidth="1"/>
    <col min="26" max="26" width="8.7109375" style="1" customWidth="1"/>
    <col min="27" max="27" width="9.28515625" style="1" bestFit="1" customWidth="1"/>
    <col min="28" max="28" width="10.5703125" style="1" bestFit="1" customWidth="1"/>
    <col min="29" max="16384" width="9.140625" style="1"/>
  </cols>
  <sheetData>
    <row r="1" spans="1:27" s="77" customFormat="1" ht="28.5" customHeight="1" x14ac:dyDescent="0.25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75"/>
    </row>
    <row r="2" spans="1:27" s="77" customFormat="1" x14ac:dyDescent="0.25">
      <c r="A2" s="114" t="s">
        <v>70</v>
      </c>
      <c r="B2" s="115" t="s">
        <v>89</v>
      </c>
      <c r="C2" s="114" t="s">
        <v>0</v>
      </c>
      <c r="D2" s="114" t="s">
        <v>1</v>
      </c>
      <c r="E2" s="102" t="s">
        <v>2</v>
      </c>
      <c r="F2" s="102"/>
      <c r="G2" s="102"/>
      <c r="H2" s="114" t="s">
        <v>72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5"/>
    </row>
    <row r="3" spans="1:27" s="77" customFormat="1" ht="27.75" customHeight="1" x14ac:dyDescent="0.25">
      <c r="A3" s="114"/>
      <c r="B3" s="115"/>
      <c r="C3" s="114"/>
      <c r="D3" s="114"/>
      <c r="E3" s="102" t="s">
        <v>3</v>
      </c>
      <c r="F3" s="102" t="s">
        <v>92</v>
      </c>
      <c r="G3" s="103" t="s">
        <v>29</v>
      </c>
      <c r="H3" s="102" t="s">
        <v>4</v>
      </c>
      <c r="I3" s="102"/>
      <c r="J3" s="102"/>
      <c r="K3" s="103" t="s">
        <v>5</v>
      </c>
      <c r="L3" s="103"/>
      <c r="M3" s="103"/>
      <c r="N3" s="104" t="s">
        <v>84</v>
      </c>
      <c r="O3" s="104"/>
      <c r="P3" s="104"/>
      <c r="Q3" s="104" t="s">
        <v>6</v>
      </c>
      <c r="R3" s="104"/>
      <c r="S3" s="104"/>
      <c r="T3" s="104" t="s">
        <v>7</v>
      </c>
      <c r="U3" s="104"/>
      <c r="V3" s="104"/>
      <c r="W3" s="104" t="s">
        <v>8</v>
      </c>
      <c r="X3" s="104"/>
      <c r="Y3" s="104"/>
      <c r="Z3" s="75"/>
    </row>
    <row r="4" spans="1:27" s="77" customFormat="1" ht="25.5" x14ac:dyDescent="0.25">
      <c r="A4" s="114"/>
      <c r="B4" s="115"/>
      <c r="C4" s="114"/>
      <c r="D4" s="114"/>
      <c r="E4" s="102"/>
      <c r="F4" s="102"/>
      <c r="G4" s="103"/>
      <c r="H4" s="76" t="s">
        <v>22</v>
      </c>
      <c r="I4" s="74" t="s">
        <v>93</v>
      </c>
      <c r="J4" s="74" t="s">
        <v>73</v>
      </c>
      <c r="K4" s="74" t="s">
        <v>24</v>
      </c>
      <c r="L4" s="74" t="s">
        <v>74</v>
      </c>
      <c r="M4" s="74" t="s">
        <v>75</v>
      </c>
      <c r="N4" s="72" t="s">
        <v>25</v>
      </c>
      <c r="O4" s="72" t="s">
        <v>76</v>
      </c>
      <c r="P4" s="72" t="s">
        <v>77</v>
      </c>
      <c r="Q4" s="72" t="s">
        <v>26</v>
      </c>
      <c r="R4" s="72" t="s">
        <v>78</v>
      </c>
      <c r="S4" s="72" t="s">
        <v>79</v>
      </c>
      <c r="T4" s="72" t="s">
        <v>27</v>
      </c>
      <c r="U4" s="72" t="s">
        <v>80</v>
      </c>
      <c r="V4" s="72" t="s">
        <v>81</v>
      </c>
      <c r="W4" s="72" t="s">
        <v>28</v>
      </c>
      <c r="X4" s="72" t="s">
        <v>82</v>
      </c>
      <c r="Y4" s="72" t="s">
        <v>83</v>
      </c>
      <c r="Z4" s="75"/>
    </row>
    <row r="5" spans="1:27" s="24" customFormat="1" ht="15.95" hidden="1" customHeight="1" x14ac:dyDescent="0.25">
      <c r="A5" s="25"/>
      <c r="B5" s="87"/>
      <c r="C5" s="25"/>
      <c r="D5" s="26"/>
      <c r="E5" s="27"/>
      <c r="F5" s="27"/>
      <c r="G5" s="82"/>
      <c r="H5" s="27"/>
      <c r="I5" s="27"/>
      <c r="J5" s="82"/>
      <c r="K5" s="27"/>
      <c r="L5" s="27"/>
      <c r="M5" s="82"/>
      <c r="N5" s="25"/>
      <c r="O5" s="25"/>
      <c r="P5" s="83"/>
      <c r="Q5" s="25"/>
      <c r="R5" s="25"/>
      <c r="S5" s="83"/>
      <c r="T5" s="25"/>
      <c r="U5" s="25"/>
      <c r="V5" s="83"/>
      <c r="W5" s="83"/>
      <c r="X5" s="83"/>
      <c r="Y5" s="83"/>
    </row>
    <row r="6" spans="1:27" ht="15.95" customHeight="1" x14ac:dyDescent="0.25">
      <c r="A6" s="79">
        <v>1</v>
      </c>
      <c r="B6" s="28" t="s">
        <v>30</v>
      </c>
      <c r="C6" s="89">
        <v>420</v>
      </c>
      <c r="D6" s="61">
        <f>'CPDCL Q4 trueup'!D6</f>
        <v>0.2334</v>
      </c>
      <c r="E6" s="78">
        <f>25.07+25.07</f>
        <v>50.14</v>
      </c>
      <c r="F6" s="78">
        <v>48.150186600000005</v>
      </c>
      <c r="G6" s="74">
        <f>F6-E6</f>
        <v>-1.9898133999999956</v>
      </c>
      <c r="H6" s="78">
        <v>45.14</v>
      </c>
      <c r="I6" s="71">
        <v>45.140208333333334</v>
      </c>
      <c r="J6" s="74">
        <f>I6-H6</f>
        <v>2.0833333333314386E-4</v>
      </c>
      <c r="K6" s="78">
        <f>E6*3.34</f>
        <v>167.4676</v>
      </c>
      <c r="L6" s="71">
        <v>160.0262262304</v>
      </c>
      <c r="M6" s="74">
        <f>L6-K6</f>
        <v>-7.4413737696000055</v>
      </c>
      <c r="N6" s="71">
        <v>0</v>
      </c>
      <c r="O6" s="71">
        <v>0</v>
      </c>
      <c r="P6" s="74">
        <f>O6-N6</f>
        <v>0</v>
      </c>
      <c r="Q6" s="71">
        <v>0</v>
      </c>
      <c r="R6" s="71">
        <v>0</v>
      </c>
      <c r="S6" s="74">
        <f>R6-Q6</f>
        <v>0</v>
      </c>
      <c r="T6" s="71">
        <v>0</v>
      </c>
      <c r="U6" s="71">
        <v>0</v>
      </c>
      <c r="V6" s="74">
        <f>U6-T6</f>
        <v>0</v>
      </c>
      <c r="W6" s="74">
        <f>H6+K6+N6+Q6+T6</f>
        <v>212.60759999999999</v>
      </c>
      <c r="X6" s="74">
        <f>I6+L6+O6+R6+U6</f>
        <v>205.16643456373333</v>
      </c>
      <c r="Y6" s="74">
        <f>X6-W6</f>
        <v>-7.4411654362666582</v>
      </c>
      <c r="Z6" s="12">
        <v>45.14</v>
      </c>
      <c r="AA6" s="92">
        <f>Z6-H6</f>
        <v>0</v>
      </c>
    </row>
    <row r="7" spans="1:27" ht="15.95" customHeight="1" x14ac:dyDescent="0.25">
      <c r="A7" s="79">
        <v>2</v>
      </c>
      <c r="B7" s="28" t="s">
        <v>31</v>
      </c>
      <c r="C7" s="89">
        <v>420</v>
      </c>
      <c r="D7" s="61">
        <f>'CPDCL Q4 trueup'!D7</f>
        <v>0.2334</v>
      </c>
      <c r="E7" s="78">
        <f>25.07+25.07</f>
        <v>50.14</v>
      </c>
      <c r="F7" s="78">
        <v>48.150186600000005</v>
      </c>
      <c r="G7" s="74">
        <f t="shared" ref="G7:G13" si="0">F7-E7</f>
        <v>-1.9898133999999956</v>
      </c>
      <c r="H7" s="78">
        <v>45.14</v>
      </c>
      <c r="I7" s="71">
        <v>45.140208333333334</v>
      </c>
      <c r="J7" s="74">
        <f t="shared" ref="J7:J13" si="1">I7-H7</f>
        <v>2.0833333333314386E-4</v>
      </c>
      <c r="K7" s="78">
        <f>E7*3.34</f>
        <v>167.4676</v>
      </c>
      <c r="L7" s="71">
        <v>160.0262262304</v>
      </c>
      <c r="M7" s="74">
        <f t="shared" ref="M7:M13" si="2">L7-K7</f>
        <v>-7.4413737696000055</v>
      </c>
      <c r="N7" s="71">
        <v>0</v>
      </c>
      <c r="O7" s="71">
        <v>0</v>
      </c>
      <c r="P7" s="74">
        <f t="shared" ref="P7:P20" si="3">O7-N7</f>
        <v>0</v>
      </c>
      <c r="Q7" s="71">
        <v>0</v>
      </c>
      <c r="R7" s="71">
        <v>0</v>
      </c>
      <c r="S7" s="74">
        <f t="shared" ref="S7:S20" si="4">R7-Q7</f>
        <v>0</v>
      </c>
      <c r="T7" s="71">
        <v>0</v>
      </c>
      <c r="U7" s="71">
        <v>0</v>
      </c>
      <c r="V7" s="74">
        <f t="shared" ref="V7:V20" si="5">U7-T7</f>
        <v>0</v>
      </c>
      <c r="W7" s="74">
        <f t="shared" ref="W7:X13" si="6">H7+K7+N7+Q7+T7</f>
        <v>212.60759999999999</v>
      </c>
      <c r="X7" s="74">
        <f t="shared" si="6"/>
        <v>205.16643456373333</v>
      </c>
      <c r="Y7" s="74">
        <f t="shared" ref="Y7:Y13" si="7">X7-W7</f>
        <v>-7.4411654362666582</v>
      </c>
      <c r="Z7" s="12">
        <v>45.14</v>
      </c>
      <c r="AA7" s="92">
        <f t="shared" ref="AA7:AA52" si="8">Z7-H7</f>
        <v>0</v>
      </c>
    </row>
    <row r="8" spans="1:27" ht="15.95" customHeight="1" x14ac:dyDescent="0.25">
      <c r="A8" s="79">
        <v>3</v>
      </c>
      <c r="B8" s="28" t="s">
        <v>32</v>
      </c>
      <c r="C8" s="89">
        <v>420</v>
      </c>
      <c r="D8" s="61">
        <f>'CPDCL Q4 trueup'!D8</f>
        <v>0.2334</v>
      </c>
      <c r="E8" s="78">
        <f>25.07+25.07</f>
        <v>50.14</v>
      </c>
      <c r="F8" s="78">
        <v>48.150186600000005</v>
      </c>
      <c r="G8" s="74">
        <f t="shared" si="0"/>
        <v>-1.9898133999999956</v>
      </c>
      <c r="H8" s="78">
        <v>45.14</v>
      </c>
      <c r="I8" s="71">
        <v>45.140208333333334</v>
      </c>
      <c r="J8" s="74">
        <f t="shared" si="1"/>
        <v>2.0833333333314386E-4</v>
      </c>
      <c r="K8" s="78">
        <f>E8*3.34</f>
        <v>167.4676</v>
      </c>
      <c r="L8" s="71">
        <v>160.0262262304</v>
      </c>
      <c r="M8" s="74">
        <f t="shared" si="2"/>
        <v>-7.4413737696000055</v>
      </c>
      <c r="N8" s="71">
        <v>0</v>
      </c>
      <c r="O8" s="71">
        <v>0</v>
      </c>
      <c r="P8" s="74">
        <f t="shared" si="3"/>
        <v>0</v>
      </c>
      <c r="Q8" s="71">
        <v>0</v>
      </c>
      <c r="R8" s="71">
        <v>0</v>
      </c>
      <c r="S8" s="74">
        <f t="shared" si="4"/>
        <v>0</v>
      </c>
      <c r="T8" s="71">
        <v>0</v>
      </c>
      <c r="U8" s="71">
        <v>0</v>
      </c>
      <c r="V8" s="74">
        <f t="shared" si="5"/>
        <v>0</v>
      </c>
      <c r="W8" s="74">
        <f t="shared" si="6"/>
        <v>212.60759999999999</v>
      </c>
      <c r="X8" s="74">
        <f t="shared" si="6"/>
        <v>205.16643456373333</v>
      </c>
      <c r="Y8" s="74">
        <f t="shared" si="7"/>
        <v>-7.4411654362666582</v>
      </c>
      <c r="Z8" s="12">
        <v>45.14</v>
      </c>
      <c r="AA8" s="92">
        <f t="shared" si="8"/>
        <v>0</v>
      </c>
    </row>
    <row r="9" spans="1:27" ht="15.95" customHeight="1" x14ac:dyDescent="0.25">
      <c r="A9" s="79">
        <v>4</v>
      </c>
      <c r="B9" s="28" t="s">
        <v>9</v>
      </c>
      <c r="C9" s="89">
        <v>500</v>
      </c>
      <c r="D9" s="61">
        <f>'CPDCL Q4 trueup'!D9</f>
        <v>0.2334</v>
      </c>
      <c r="E9" s="78">
        <v>60.52</v>
      </c>
      <c r="F9" s="78">
        <v>61.898496899999998</v>
      </c>
      <c r="G9" s="74">
        <f t="shared" si="0"/>
        <v>1.3784968999999947</v>
      </c>
      <c r="H9" s="78">
        <v>55.375000000000007</v>
      </c>
      <c r="I9" s="71">
        <v>55.374149999999993</v>
      </c>
      <c r="J9" s="74">
        <f t="shared" si="1"/>
        <v>-8.5000000001400622E-4</v>
      </c>
      <c r="K9" s="78">
        <f>E9*3.15</f>
        <v>190.63800000000001</v>
      </c>
      <c r="L9" s="71">
        <v>194.32445207999999</v>
      </c>
      <c r="M9" s="74">
        <f t="shared" si="2"/>
        <v>3.6864520799999809</v>
      </c>
      <c r="N9" s="71">
        <v>0</v>
      </c>
      <c r="O9" s="71">
        <v>0</v>
      </c>
      <c r="P9" s="74">
        <f t="shared" si="3"/>
        <v>0</v>
      </c>
      <c r="Q9" s="71">
        <v>0</v>
      </c>
      <c r="R9" s="71">
        <v>0</v>
      </c>
      <c r="S9" s="74">
        <f t="shared" si="4"/>
        <v>0</v>
      </c>
      <c r="T9" s="71">
        <v>0</v>
      </c>
      <c r="U9" s="71">
        <v>0</v>
      </c>
      <c r="V9" s="74">
        <f t="shared" si="5"/>
        <v>0</v>
      </c>
      <c r="W9" s="74">
        <f>H9+K9+N9+Q9+T9</f>
        <v>246.01300000000001</v>
      </c>
      <c r="X9" s="74">
        <f t="shared" si="6"/>
        <v>249.69860207999997</v>
      </c>
      <c r="Y9" s="74">
        <f t="shared" si="7"/>
        <v>3.6856020799999669</v>
      </c>
      <c r="Z9" s="12">
        <v>55.375000000000007</v>
      </c>
      <c r="AA9" s="92">
        <f t="shared" si="8"/>
        <v>0</v>
      </c>
    </row>
    <row r="10" spans="1:27" ht="15.95" customHeight="1" x14ac:dyDescent="0.25">
      <c r="A10" s="79">
        <v>5</v>
      </c>
      <c r="B10" s="28" t="s">
        <v>10</v>
      </c>
      <c r="C10" s="89">
        <v>420</v>
      </c>
      <c r="D10" s="61">
        <f>'CPDCL Q4 trueup'!D10</f>
        <v>0.2334</v>
      </c>
      <c r="E10" s="78">
        <f>25.07+25.07</f>
        <v>50.14</v>
      </c>
      <c r="F10" s="78">
        <v>41.732246759999995</v>
      </c>
      <c r="G10" s="74">
        <f t="shared" si="0"/>
        <v>-8.4077532400000052</v>
      </c>
      <c r="H10" s="78">
        <v>51.383333333333326</v>
      </c>
      <c r="I10" s="71">
        <v>51.381065000000007</v>
      </c>
      <c r="J10" s="74">
        <f t="shared" si="1"/>
        <v>-2.2683333333191058E-3</v>
      </c>
      <c r="K10" s="78">
        <f>E10*3.86</f>
        <v>193.54040000000001</v>
      </c>
      <c r="L10" s="71">
        <v>160.93797221039998</v>
      </c>
      <c r="M10" s="74">
        <f t="shared" si="2"/>
        <v>-32.602427789600029</v>
      </c>
      <c r="N10" s="71">
        <v>0</v>
      </c>
      <c r="O10" s="71">
        <v>0</v>
      </c>
      <c r="P10" s="74">
        <f t="shared" si="3"/>
        <v>0</v>
      </c>
      <c r="Q10" s="71">
        <v>0</v>
      </c>
      <c r="R10" s="71">
        <v>0</v>
      </c>
      <c r="S10" s="74">
        <f t="shared" si="4"/>
        <v>0</v>
      </c>
      <c r="T10" s="71">
        <v>0</v>
      </c>
      <c r="U10" s="71">
        <v>0</v>
      </c>
      <c r="V10" s="74">
        <f t="shared" si="5"/>
        <v>0</v>
      </c>
      <c r="W10" s="74">
        <f>H10+K10+N10+Q10+T10</f>
        <v>244.92373333333333</v>
      </c>
      <c r="X10" s="74">
        <f t="shared" si="6"/>
        <v>212.31903721039998</v>
      </c>
      <c r="Y10" s="74">
        <f t="shared" si="7"/>
        <v>-32.604696122933348</v>
      </c>
      <c r="Z10" s="12">
        <v>51.383333333333326</v>
      </c>
      <c r="AA10" s="92">
        <f t="shared" si="8"/>
        <v>0</v>
      </c>
    </row>
    <row r="11" spans="1:27" ht="15.95" customHeight="1" x14ac:dyDescent="0.25">
      <c r="A11" s="79">
        <v>6</v>
      </c>
      <c r="B11" s="28" t="s">
        <v>11</v>
      </c>
      <c r="C11" s="89">
        <v>420</v>
      </c>
      <c r="D11" s="61">
        <f>'CPDCL Q4 trueup'!D11</f>
        <v>0.2334</v>
      </c>
      <c r="E11" s="78">
        <f>25.07+25.07</f>
        <v>50.14</v>
      </c>
      <c r="F11" s="78">
        <v>26.836658759999999</v>
      </c>
      <c r="G11" s="74">
        <f t="shared" si="0"/>
        <v>-23.303341240000002</v>
      </c>
      <c r="H11" s="78">
        <v>50.216666666666669</v>
      </c>
      <c r="I11" s="71">
        <v>50.219900000000003</v>
      </c>
      <c r="J11" s="74">
        <f t="shared" si="1"/>
        <v>3.2333333333340875E-3</v>
      </c>
      <c r="K11" s="78">
        <f>E11*3.86</f>
        <v>193.54040000000001</v>
      </c>
      <c r="L11" s="71">
        <v>103.49400720360001</v>
      </c>
      <c r="M11" s="74">
        <f t="shared" si="2"/>
        <v>-90.046392796399999</v>
      </c>
      <c r="N11" s="71">
        <v>0</v>
      </c>
      <c r="O11" s="71">
        <v>0</v>
      </c>
      <c r="P11" s="74">
        <f t="shared" si="3"/>
        <v>0</v>
      </c>
      <c r="Q11" s="71">
        <v>0</v>
      </c>
      <c r="R11" s="71">
        <v>0</v>
      </c>
      <c r="S11" s="74">
        <f t="shared" si="4"/>
        <v>0</v>
      </c>
      <c r="T11" s="71">
        <v>0</v>
      </c>
      <c r="U11" s="71">
        <v>0</v>
      </c>
      <c r="V11" s="74">
        <f t="shared" si="5"/>
        <v>0</v>
      </c>
      <c r="W11" s="74">
        <f>H11+K11+N11+Q11+T11</f>
        <v>243.75706666666667</v>
      </c>
      <c r="X11" s="74">
        <f t="shared" si="6"/>
        <v>153.7139072036</v>
      </c>
      <c r="Y11" s="74">
        <f t="shared" si="7"/>
        <v>-90.043159463066672</v>
      </c>
      <c r="Z11" s="12">
        <v>50.216666666666669</v>
      </c>
      <c r="AA11" s="92">
        <f t="shared" si="8"/>
        <v>0</v>
      </c>
    </row>
    <row r="12" spans="1:27" ht="15.95" customHeight="1" x14ac:dyDescent="0.25">
      <c r="A12" s="79">
        <v>7</v>
      </c>
      <c r="B12" s="28" t="s">
        <v>12</v>
      </c>
      <c r="C12" s="89">
        <v>210</v>
      </c>
      <c r="D12" s="61">
        <f>'CPDCL Q4 trueup'!D12</f>
        <v>0.2334</v>
      </c>
      <c r="E12" s="78">
        <v>25.07</v>
      </c>
      <c r="F12" s="78">
        <v>25.349177219999998</v>
      </c>
      <c r="G12" s="74">
        <f t="shared" si="0"/>
        <v>0.27917721999999756</v>
      </c>
      <c r="H12" s="78">
        <v>32.908333333333331</v>
      </c>
      <c r="I12" s="71">
        <v>32.90551</v>
      </c>
      <c r="J12" s="74">
        <f t="shared" si="1"/>
        <v>-2.8233333333318456E-3</v>
      </c>
      <c r="K12" s="78">
        <f>E12*3.86</f>
        <v>96.770200000000003</v>
      </c>
      <c r="L12" s="71">
        <v>97.757621504400007</v>
      </c>
      <c r="M12" s="74">
        <f t="shared" si="2"/>
        <v>0.98742150440000387</v>
      </c>
      <c r="N12" s="71">
        <v>0</v>
      </c>
      <c r="O12" s="71">
        <v>0</v>
      </c>
      <c r="P12" s="74">
        <f t="shared" si="3"/>
        <v>0</v>
      </c>
      <c r="Q12" s="71">
        <v>0</v>
      </c>
      <c r="R12" s="71">
        <v>0</v>
      </c>
      <c r="S12" s="74">
        <f t="shared" si="4"/>
        <v>0</v>
      </c>
      <c r="T12" s="71">
        <v>0</v>
      </c>
      <c r="U12" s="71">
        <v>0</v>
      </c>
      <c r="V12" s="74">
        <f t="shared" si="5"/>
        <v>0</v>
      </c>
      <c r="W12" s="74">
        <f>H12+K12+N12+Q12+T12</f>
        <v>129.67853333333335</v>
      </c>
      <c r="X12" s="74">
        <f t="shared" si="6"/>
        <v>130.66313150440001</v>
      </c>
      <c r="Y12" s="74">
        <f t="shared" si="7"/>
        <v>0.98459817106666492</v>
      </c>
      <c r="Z12" s="12">
        <v>32.908333333333331</v>
      </c>
      <c r="AA12" s="92">
        <f t="shared" si="8"/>
        <v>0</v>
      </c>
    </row>
    <row r="13" spans="1:27" ht="15.95" customHeight="1" x14ac:dyDescent="0.25">
      <c r="A13" s="79">
        <v>8</v>
      </c>
      <c r="B13" s="28" t="s">
        <v>13</v>
      </c>
      <c r="C13" s="89">
        <v>600</v>
      </c>
      <c r="D13" s="61">
        <f>'CPDCL Q4 trueup'!D13</f>
        <v>0.2334</v>
      </c>
      <c r="E13" s="78">
        <v>80.62</v>
      </c>
      <c r="F13" s="71">
        <v>57.9868296</v>
      </c>
      <c r="G13" s="74">
        <f t="shared" si="0"/>
        <v>-22.633170400000004</v>
      </c>
      <c r="H13" s="71">
        <v>149.375</v>
      </c>
      <c r="I13" s="71">
        <v>149.37405507779999</v>
      </c>
      <c r="J13" s="74">
        <f t="shared" si="1"/>
        <v>-9.4492220000574889E-4</v>
      </c>
      <c r="K13" s="78">
        <f>E13*3.66</f>
        <v>295.06920000000002</v>
      </c>
      <c r="L13" s="71">
        <v>211.98681316080001</v>
      </c>
      <c r="M13" s="74">
        <f t="shared" si="2"/>
        <v>-83.082386839200012</v>
      </c>
      <c r="N13" s="71">
        <v>0</v>
      </c>
      <c r="O13" s="71">
        <v>0</v>
      </c>
      <c r="P13" s="74">
        <f t="shared" si="3"/>
        <v>0</v>
      </c>
      <c r="Q13" s="71">
        <v>0</v>
      </c>
      <c r="R13" s="71">
        <v>0</v>
      </c>
      <c r="S13" s="74">
        <f t="shared" si="4"/>
        <v>0</v>
      </c>
      <c r="T13" s="71">
        <v>0</v>
      </c>
      <c r="U13" s="71">
        <v>0</v>
      </c>
      <c r="V13" s="74">
        <f t="shared" si="5"/>
        <v>0</v>
      </c>
      <c r="W13" s="74">
        <f>H13+K13+N13+Q13+T13</f>
        <v>444.44420000000002</v>
      </c>
      <c r="X13" s="74">
        <f t="shared" si="6"/>
        <v>361.36086823860001</v>
      </c>
      <c r="Y13" s="74">
        <f t="shared" si="7"/>
        <v>-83.083331761400018</v>
      </c>
      <c r="Z13" s="12">
        <v>149.375</v>
      </c>
      <c r="AA13" s="92">
        <f t="shared" si="8"/>
        <v>0</v>
      </c>
    </row>
    <row r="14" spans="1:27" s="37" customFormat="1" ht="15.95" customHeight="1" x14ac:dyDescent="0.25">
      <c r="A14" s="31"/>
      <c r="B14" s="30" t="s">
        <v>33</v>
      </c>
      <c r="C14" s="90">
        <f>SUM(C6:C13)</f>
        <v>3410</v>
      </c>
      <c r="D14" s="32"/>
      <c r="E14" s="32">
        <f t="shared" ref="E14:Y14" si="9">SUM(E6:E13)</f>
        <v>416.91</v>
      </c>
      <c r="F14" s="32">
        <f t="shared" si="9"/>
        <v>358.25396904000002</v>
      </c>
      <c r="G14" s="32">
        <f t="shared" si="9"/>
        <v>-58.656030960000002</v>
      </c>
      <c r="H14" s="32">
        <f t="shared" si="9"/>
        <v>474.67833333333328</v>
      </c>
      <c r="I14" s="32">
        <f t="shared" si="9"/>
        <v>474.67530507779998</v>
      </c>
      <c r="J14" s="32">
        <f t="shared" si="9"/>
        <v>-3.0282555333371874E-3</v>
      </c>
      <c r="K14" s="32">
        <f t="shared" si="9"/>
        <v>1471.9609999999998</v>
      </c>
      <c r="L14" s="32">
        <f t="shared" si="9"/>
        <v>1248.5795448504</v>
      </c>
      <c r="M14" s="32">
        <f t="shared" si="9"/>
        <v>-223.38145514960007</v>
      </c>
      <c r="N14" s="32">
        <f t="shared" si="9"/>
        <v>0</v>
      </c>
      <c r="O14" s="32">
        <f t="shared" si="9"/>
        <v>0</v>
      </c>
      <c r="P14" s="32">
        <f t="shared" si="9"/>
        <v>0</v>
      </c>
      <c r="Q14" s="32">
        <f t="shared" si="9"/>
        <v>0</v>
      </c>
      <c r="R14" s="32">
        <f t="shared" si="9"/>
        <v>0</v>
      </c>
      <c r="S14" s="32">
        <f t="shared" si="9"/>
        <v>0</v>
      </c>
      <c r="T14" s="32">
        <f t="shared" si="9"/>
        <v>0</v>
      </c>
      <c r="U14" s="32">
        <f t="shared" si="9"/>
        <v>0</v>
      </c>
      <c r="V14" s="32">
        <f t="shared" si="9"/>
        <v>0</v>
      </c>
      <c r="W14" s="32">
        <f t="shared" si="9"/>
        <v>1946.6393333333331</v>
      </c>
      <c r="X14" s="32">
        <f t="shared" si="9"/>
        <v>1723.2548499282002</v>
      </c>
      <c r="Y14" s="32">
        <f t="shared" si="9"/>
        <v>-223.38448340513338</v>
      </c>
      <c r="Z14" s="33">
        <v>474.67833333333328</v>
      </c>
      <c r="AA14" s="92">
        <f t="shared" si="8"/>
        <v>0</v>
      </c>
    </row>
    <row r="15" spans="1:27" ht="15.95" customHeight="1" x14ac:dyDescent="0.25">
      <c r="A15" s="79">
        <v>9</v>
      </c>
      <c r="B15" s="28" t="s">
        <v>14</v>
      </c>
      <c r="C15" s="89">
        <v>770</v>
      </c>
      <c r="D15" s="61">
        <f>'CPDCL Q4 trueup'!D15</f>
        <v>0.2334</v>
      </c>
      <c r="E15" s="78">
        <v>16.37</v>
      </c>
      <c r="F15" s="78">
        <v>14.734985459999999</v>
      </c>
      <c r="G15" s="74">
        <f t="shared" ref="G15:G61" si="10">F15-E15</f>
        <v>-1.635014540000002</v>
      </c>
      <c r="H15" s="78">
        <v>43.44166666666667</v>
      </c>
      <c r="I15" s="71">
        <v>43.443519999999999</v>
      </c>
      <c r="J15" s="74">
        <f t="shared" ref="J15:J61" si="11">I15-H15</f>
        <v>1.8533333333294877E-3</v>
      </c>
      <c r="K15" s="78">
        <v>0</v>
      </c>
      <c r="L15" s="71">
        <v>0</v>
      </c>
      <c r="M15" s="74">
        <f t="shared" ref="M15:M61" si="12">L15-K15</f>
        <v>0</v>
      </c>
      <c r="N15" s="71">
        <v>0</v>
      </c>
      <c r="O15" s="71">
        <v>0</v>
      </c>
      <c r="P15" s="74">
        <f t="shared" si="3"/>
        <v>0</v>
      </c>
      <c r="Q15" s="71">
        <v>0</v>
      </c>
      <c r="R15" s="71">
        <v>0</v>
      </c>
      <c r="S15" s="74">
        <f t="shared" si="4"/>
        <v>0</v>
      </c>
      <c r="T15" s="71">
        <v>0</v>
      </c>
      <c r="U15" s="71">
        <v>0</v>
      </c>
      <c r="V15" s="74">
        <f t="shared" si="5"/>
        <v>0</v>
      </c>
      <c r="W15" s="74">
        <f t="shared" ref="W15:X20" si="13">H15+K15+N15+Q15+T15</f>
        <v>43.44166666666667</v>
      </c>
      <c r="X15" s="74">
        <f t="shared" si="13"/>
        <v>43.443519999999999</v>
      </c>
      <c r="Y15" s="74">
        <f t="shared" ref="Y15:Y61" si="14">X15-W15</f>
        <v>1.8533333333294877E-3</v>
      </c>
      <c r="Z15" s="12">
        <v>43.44166666666667</v>
      </c>
      <c r="AA15" s="92">
        <f t="shared" si="8"/>
        <v>0</v>
      </c>
    </row>
    <row r="16" spans="1:27" ht="15.95" customHeight="1" x14ac:dyDescent="0.25">
      <c r="A16" s="79">
        <v>10</v>
      </c>
      <c r="B16" s="28" t="s">
        <v>15</v>
      </c>
      <c r="C16" s="89">
        <v>90</v>
      </c>
      <c r="D16" s="61">
        <f>'CPDCL Q4 trueup'!D16</f>
        <v>0.2334</v>
      </c>
      <c r="E16" s="78">
        <v>1.08</v>
      </c>
      <c r="F16" s="78">
        <v>6.843387195</v>
      </c>
      <c r="G16" s="74">
        <f t="shared" si="10"/>
        <v>5.763387195</v>
      </c>
      <c r="H16" s="78">
        <v>4.9833333333333334</v>
      </c>
      <c r="I16" s="71">
        <v>4.9830900000000007</v>
      </c>
      <c r="J16" s="74">
        <f t="shared" si="11"/>
        <v>-2.4333333333270701E-4</v>
      </c>
      <c r="K16" s="78">
        <v>0</v>
      </c>
      <c r="L16" s="71">
        <v>0</v>
      </c>
      <c r="M16" s="74">
        <f t="shared" si="12"/>
        <v>0</v>
      </c>
      <c r="N16" s="71">
        <v>0</v>
      </c>
      <c r="O16" s="71">
        <v>0</v>
      </c>
      <c r="P16" s="74">
        <f t="shared" si="3"/>
        <v>0</v>
      </c>
      <c r="Q16" s="71">
        <v>0</v>
      </c>
      <c r="R16" s="71">
        <v>0</v>
      </c>
      <c r="S16" s="74">
        <f t="shared" si="4"/>
        <v>0</v>
      </c>
      <c r="T16" s="71">
        <v>0</v>
      </c>
      <c r="U16" s="71">
        <v>0</v>
      </c>
      <c r="V16" s="74">
        <f t="shared" si="5"/>
        <v>0</v>
      </c>
      <c r="W16" s="74">
        <f t="shared" si="13"/>
        <v>4.9833333333333334</v>
      </c>
      <c r="X16" s="74">
        <f t="shared" si="13"/>
        <v>4.9830900000000007</v>
      </c>
      <c r="Y16" s="74">
        <f t="shared" si="14"/>
        <v>-2.4333333333270701E-4</v>
      </c>
      <c r="Z16" s="12">
        <v>4.9833333333333334</v>
      </c>
      <c r="AA16" s="92">
        <f t="shared" si="8"/>
        <v>0</v>
      </c>
    </row>
    <row r="17" spans="1:27" ht="15.95" customHeight="1" x14ac:dyDescent="0.25">
      <c r="A17" s="79">
        <v>11</v>
      </c>
      <c r="B17" s="28" t="s">
        <v>16</v>
      </c>
      <c r="C17" s="89">
        <v>50</v>
      </c>
      <c r="D17" s="61">
        <f>'CPDCL Q4 trueup'!D17</f>
        <v>0.2334</v>
      </c>
      <c r="E17" s="78">
        <v>0.92</v>
      </c>
      <c r="F17" s="71">
        <v>0.34669235999999998</v>
      </c>
      <c r="G17" s="74">
        <f t="shared" si="10"/>
        <v>-0.57330764000000012</v>
      </c>
      <c r="H17" s="71">
        <v>9.875</v>
      </c>
      <c r="I17" s="71">
        <v>9.8728199999999973</v>
      </c>
      <c r="J17" s="74">
        <f t="shared" si="11"/>
        <v>-2.1800000000027353E-3</v>
      </c>
      <c r="K17" s="71">
        <v>0</v>
      </c>
      <c r="L17" s="71">
        <v>0</v>
      </c>
      <c r="M17" s="74">
        <f t="shared" si="12"/>
        <v>0</v>
      </c>
      <c r="N17" s="71">
        <v>0</v>
      </c>
      <c r="O17" s="71">
        <v>0</v>
      </c>
      <c r="P17" s="74">
        <f t="shared" si="3"/>
        <v>0</v>
      </c>
      <c r="Q17" s="71">
        <v>0</v>
      </c>
      <c r="R17" s="71">
        <v>0</v>
      </c>
      <c r="S17" s="74">
        <f t="shared" si="4"/>
        <v>0</v>
      </c>
      <c r="T17" s="71">
        <v>0</v>
      </c>
      <c r="U17" s="71">
        <v>0</v>
      </c>
      <c r="V17" s="74">
        <f t="shared" si="5"/>
        <v>0</v>
      </c>
      <c r="W17" s="74">
        <f t="shared" si="13"/>
        <v>9.875</v>
      </c>
      <c r="X17" s="74">
        <f t="shared" si="13"/>
        <v>9.8728199999999973</v>
      </c>
      <c r="Y17" s="74">
        <f t="shared" si="14"/>
        <v>-2.1800000000027353E-3</v>
      </c>
      <c r="Z17" s="12">
        <v>9.875</v>
      </c>
      <c r="AA17" s="92">
        <f t="shared" si="8"/>
        <v>0</v>
      </c>
    </row>
    <row r="18" spans="1:27" ht="15.95" customHeight="1" x14ac:dyDescent="0.25">
      <c r="A18" s="79">
        <v>12</v>
      </c>
      <c r="B18" s="28" t="s">
        <v>34</v>
      </c>
      <c r="C18" s="89">
        <v>725</v>
      </c>
      <c r="D18" s="61">
        <f>'CPDCL Q4 trueup'!D18</f>
        <v>0.2334</v>
      </c>
      <c r="E18" s="78">
        <f>11.9+25.25+2.42</f>
        <v>39.57</v>
      </c>
      <c r="F18" s="71">
        <v>20.990491736999999</v>
      </c>
      <c r="G18" s="74">
        <f t="shared" si="10"/>
        <v>-18.579508263000001</v>
      </c>
      <c r="H18" s="71">
        <v>46.224999999999994</v>
      </c>
      <c r="I18" s="71">
        <v>46.222924999999989</v>
      </c>
      <c r="J18" s="74">
        <f t="shared" si="11"/>
        <v>-2.075000000004934E-3</v>
      </c>
      <c r="K18" s="71">
        <v>0</v>
      </c>
      <c r="L18" s="71">
        <v>0</v>
      </c>
      <c r="M18" s="74">
        <f t="shared" si="12"/>
        <v>0</v>
      </c>
      <c r="N18" s="71">
        <v>0</v>
      </c>
      <c r="O18" s="71">
        <v>0</v>
      </c>
      <c r="P18" s="74">
        <f t="shared" si="3"/>
        <v>0</v>
      </c>
      <c r="Q18" s="71">
        <v>0</v>
      </c>
      <c r="R18" s="71">
        <v>0</v>
      </c>
      <c r="S18" s="74">
        <f t="shared" si="4"/>
        <v>0</v>
      </c>
      <c r="T18" s="71">
        <v>0</v>
      </c>
      <c r="U18" s="71">
        <v>0</v>
      </c>
      <c r="V18" s="74">
        <f t="shared" si="5"/>
        <v>0</v>
      </c>
      <c r="W18" s="74">
        <f t="shared" si="13"/>
        <v>46.224999999999994</v>
      </c>
      <c r="X18" s="74">
        <f t="shared" si="13"/>
        <v>46.222924999999989</v>
      </c>
      <c r="Y18" s="74">
        <f t="shared" si="14"/>
        <v>-2.075000000004934E-3</v>
      </c>
      <c r="Z18" s="12">
        <v>46.224999999999994</v>
      </c>
      <c r="AA18" s="92">
        <f t="shared" si="8"/>
        <v>0</v>
      </c>
    </row>
    <row r="19" spans="1:27" ht="15.95" customHeight="1" x14ac:dyDescent="0.25">
      <c r="A19" s="79">
        <v>13</v>
      </c>
      <c r="B19" s="28" t="s">
        <v>17</v>
      </c>
      <c r="C19" s="89">
        <v>20</v>
      </c>
      <c r="D19" s="61">
        <f>'CPDCL Q4 trueup'!D19</f>
        <v>0.2334</v>
      </c>
      <c r="E19" s="78">
        <v>7.0000000000000007E-2</v>
      </c>
      <c r="F19" s="71">
        <v>-7.3429974000000005E-3</v>
      </c>
      <c r="G19" s="74">
        <f t="shared" si="10"/>
        <v>-7.7342997400000002E-2</v>
      </c>
      <c r="H19" s="71">
        <v>2.5833333333333335</v>
      </c>
      <c r="I19" s="71">
        <v>2.5829599999999999</v>
      </c>
      <c r="J19" s="74">
        <f t="shared" si="11"/>
        <v>-3.7333333333355867E-4</v>
      </c>
      <c r="K19" s="71">
        <v>0</v>
      </c>
      <c r="L19" s="71">
        <v>0</v>
      </c>
      <c r="M19" s="74">
        <f t="shared" si="12"/>
        <v>0</v>
      </c>
      <c r="N19" s="71">
        <v>0</v>
      </c>
      <c r="O19" s="71">
        <v>0</v>
      </c>
      <c r="P19" s="74">
        <f t="shared" si="3"/>
        <v>0</v>
      </c>
      <c r="Q19" s="71">
        <v>0</v>
      </c>
      <c r="R19" s="71">
        <v>0</v>
      </c>
      <c r="S19" s="74">
        <f t="shared" si="4"/>
        <v>0</v>
      </c>
      <c r="T19" s="71">
        <v>0</v>
      </c>
      <c r="U19" s="71">
        <v>0</v>
      </c>
      <c r="V19" s="74">
        <f t="shared" si="5"/>
        <v>0</v>
      </c>
      <c r="W19" s="74">
        <f t="shared" si="13"/>
        <v>2.5833333333333335</v>
      </c>
      <c r="X19" s="74">
        <f t="shared" si="13"/>
        <v>2.5829599999999999</v>
      </c>
      <c r="Y19" s="74">
        <f t="shared" si="14"/>
        <v>-3.7333333333355867E-4</v>
      </c>
      <c r="Z19" s="12">
        <v>2.5833333333333335</v>
      </c>
      <c r="AA19" s="92">
        <f t="shared" si="8"/>
        <v>0</v>
      </c>
    </row>
    <row r="20" spans="1:27" ht="15.95" customHeight="1" x14ac:dyDescent="0.25">
      <c r="A20" s="79">
        <v>14</v>
      </c>
      <c r="B20" s="28" t="s">
        <v>18</v>
      </c>
      <c r="C20" s="89">
        <v>1</v>
      </c>
      <c r="D20" s="61">
        <f>'CPDCL Q4 trueup'!D20</f>
        <v>0.2334</v>
      </c>
      <c r="E20" s="78">
        <v>7.0000000000000007E-2</v>
      </c>
      <c r="F20" s="71">
        <v>7.2178949999999992E-2</v>
      </c>
      <c r="G20" s="74">
        <f t="shared" si="10"/>
        <v>2.1789499999999851E-3</v>
      </c>
      <c r="H20" s="71">
        <v>0.34166666666666667</v>
      </c>
      <c r="I20" s="71">
        <v>0.34232000000000001</v>
      </c>
      <c r="J20" s="74">
        <f t="shared" si="11"/>
        <v>6.5333333333333909E-4</v>
      </c>
      <c r="K20" s="71">
        <v>0</v>
      </c>
      <c r="L20" s="71">
        <v>0</v>
      </c>
      <c r="M20" s="74">
        <f t="shared" si="12"/>
        <v>0</v>
      </c>
      <c r="N20" s="71">
        <v>0</v>
      </c>
      <c r="O20" s="71">
        <v>0</v>
      </c>
      <c r="P20" s="74">
        <f t="shared" si="3"/>
        <v>0</v>
      </c>
      <c r="Q20" s="71">
        <v>0</v>
      </c>
      <c r="R20" s="71">
        <v>0</v>
      </c>
      <c r="S20" s="74">
        <f t="shared" si="4"/>
        <v>0</v>
      </c>
      <c r="T20" s="71">
        <v>0</v>
      </c>
      <c r="U20" s="71">
        <v>0</v>
      </c>
      <c r="V20" s="74">
        <f t="shared" si="5"/>
        <v>0</v>
      </c>
      <c r="W20" s="74">
        <f t="shared" si="13"/>
        <v>0.34166666666666667</v>
      </c>
      <c r="X20" s="74">
        <f t="shared" si="13"/>
        <v>0.34232000000000001</v>
      </c>
      <c r="Y20" s="74">
        <f t="shared" si="14"/>
        <v>6.5333333333333909E-4</v>
      </c>
      <c r="Z20" s="12">
        <v>0.34166666666666667</v>
      </c>
      <c r="AA20" s="92">
        <f t="shared" si="8"/>
        <v>0</v>
      </c>
    </row>
    <row r="21" spans="1:27" s="37" customFormat="1" ht="15.95" customHeight="1" x14ac:dyDescent="0.25">
      <c r="A21" s="31"/>
      <c r="B21" s="30" t="s">
        <v>35</v>
      </c>
      <c r="C21" s="90">
        <f>SUM(C15:C20)</f>
        <v>1656</v>
      </c>
      <c r="D21" s="32"/>
      <c r="E21" s="32">
        <f t="shared" ref="E21:Y21" si="15">SUM(E15:E20)</f>
        <v>58.080000000000005</v>
      </c>
      <c r="F21" s="32">
        <f t="shared" si="15"/>
        <v>42.9803927046</v>
      </c>
      <c r="G21" s="32">
        <f t="shared" si="15"/>
        <v>-15.099607295400006</v>
      </c>
      <c r="H21" s="32">
        <f t="shared" si="15"/>
        <v>107.45</v>
      </c>
      <c r="I21" s="32">
        <f t="shared" si="15"/>
        <v>107.44763499999998</v>
      </c>
      <c r="J21" s="32">
        <f t="shared" si="15"/>
        <v>-2.3650000000111082E-3</v>
      </c>
      <c r="K21" s="32">
        <f t="shared" si="15"/>
        <v>0</v>
      </c>
      <c r="L21" s="32">
        <f t="shared" si="15"/>
        <v>0</v>
      </c>
      <c r="M21" s="32">
        <f t="shared" si="15"/>
        <v>0</v>
      </c>
      <c r="N21" s="32">
        <f t="shared" si="15"/>
        <v>0</v>
      </c>
      <c r="O21" s="32">
        <f t="shared" si="15"/>
        <v>0</v>
      </c>
      <c r="P21" s="32">
        <f t="shared" si="15"/>
        <v>0</v>
      </c>
      <c r="Q21" s="32">
        <f t="shared" si="15"/>
        <v>0</v>
      </c>
      <c r="R21" s="32">
        <f t="shared" si="15"/>
        <v>0</v>
      </c>
      <c r="S21" s="32">
        <f t="shared" si="15"/>
        <v>0</v>
      </c>
      <c r="T21" s="32">
        <f t="shared" si="15"/>
        <v>0</v>
      </c>
      <c r="U21" s="32">
        <f t="shared" si="15"/>
        <v>0</v>
      </c>
      <c r="V21" s="32">
        <f t="shared" si="15"/>
        <v>0</v>
      </c>
      <c r="W21" s="32">
        <f t="shared" si="15"/>
        <v>107.45</v>
      </c>
      <c r="X21" s="32">
        <f t="shared" si="15"/>
        <v>107.44763499999998</v>
      </c>
      <c r="Y21" s="32">
        <f t="shared" si="15"/>
        <v>-2.3650000000111082E-3</v>
      </c>
      <c r="Z21" s="33">
        <v>107.45</v>
      </c>
      <c r="AA21" s="92">
        <f t="shared" si="8"/>
        <v>0</v>
      </c>
    </row>
    <row r="22" spans="1:27" s="4" customFormat="1" ht="26.25" customHeight="1" x14ac:dyDescent="0.25">
      <c r="A22" s="73">
        <v>15</v>
      </c>
      <c r="B22" s="41" t="s">
        <v>109</v>
      </c>
      <c r="C22" s="88">
        <v>141.6</v>
      </c>
      <c r="D22" s="64">
        <f>'CPDCL Q4 trueup'!D22</f>
        <v>0.2334</v>
      </c>
      <c r="E22" s="71">
        <f>5.59+2.12</f>
        <v>7.71</v>
      </c>
      <c r="F22" s="71">
        <v>11.455435379999999</v>
      </c>
      <c r="G22" s="74">
        <f t="shared" si="10"/>
        <v>3.7454353799999991</v>
      </c>
      <c r="H22" s="71">
        <v>12.024999999999999</v>
      </c>
      <c r="I22" s="71">
        <v>12.025935</v>
      </c>
      <c r="J22" s="74">
        <f t="shared" si="11"/>
        <v>9.3500000000190653E-4</v>
      </c>
      <c r="K22" s="71">
        <v>0</v>
      </c>
      <c r="L22" s="71">
        <v>0</v>
      </c>
      <c r="M22" s="74">
        <f t="shared" si="12"/>
        <v>0</v>
      </c>
      <c r="N22" s="71">
        <v>0</v>
      </c>
      <c r="O22" s="71">
        <v>0</v>
      </c>
      <c r="P22" s="74">
        <f>O22-N22</f>
        <v>0</v>
      </c>
      <c r="Q22" s="71">
        <v>0</v>
      </c>
      <c r="R22" s="71">
        <v>0</v>
      </c>
      <c r="S22" s="74">
        <f>R22-Q22</f>
        <v>0</v>
      </c>
      <c r="T22" s="71">
        <v>0</v>
      </c>
      <c r="U22" s="71">
        <v>0</v>
      </c>
      <c r="V22" s="74">
        <f>U22-T22</f>
        <v>0</v>
      </c>
      <c r="W22" s="74">
        <f>H22+K22+N22+Q22+T22</f>
        <v>12.024999999999999</v>
      </c>
      <c r="X22" s="74">
        <f>I22+L22+O22+R22+U22</f>
        <v>12.025935</v>
      </c>
      <c r="Y22" s="74">
        <f t="shared" si="14"/>
        <v>9.3500000000190653E-4</v>
      </c>
      <c r="Z22" s="5">
        <v>12.024999999999999</v>
      </c>
      <c r="AA22" s="92">
        <f t="shared" si="8"/>
        <v>0</v>
      </c>
    </row>
    <row r="23" spans="1:27" s="37" customFormat="1" ht="15.95" customHeight="1" x14ac:dyDescent="0.25">
      <c r="A23" s="31"/>
      <c r="B23" s="30" t="s">
        <v>36</v>
      </c>
      <c r="C23" s="32">
        <f>C22+C21+C14</f>
        <v>5207.6000000000004</v>
      </c>
      <c r="D23" s="32"/>
      <c r="E23" s="32">
        <f t="shared" ref="E23:Y23" si="16">E22+E21+E14</f>
        <v>482.70000000000005</v>
      </c>
      <c r="F23" s="32">
        <f t="shared" si="16"/>
        <v>412.68979712460003</v>
      </c>
      <c r="G23" s="32">
        <f t="shared" si="16"/>
        <v>-70.010202875400012</v>
      </c>
      <c r="H23" s="32">
        <f t="shared" si="16"/>
        <v>594.15333333333331</v>
      </c>
      <c r="I23" s="32">
        <f t="shared" si="16"/>
        <v>594.14887507779997</v>
      </c>
      <c r="J23" s="32">
        <f t="shared" si="16"/>
        <v>-4.4582555333463891E-3</v>
      </c>
      <c r="K23" s="32">
        <f t="shared" si="16"/>
        <v>1471.9609999999998</v>
      </c>
      <c r="L23" s="32">
        <f t="shared" si="16"/>
        <v>1248.5795448504</v>
      </c>
      <c r="M23" s="32">
        <f t="shared" si="16"/>
        <v>-223.38145514960007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32">
        <f t="shared" si="16"/>
        <v>0</v>
      </c>
      <c r="W23" s="32">
        <f t="shared" si="16"/>
        <v>2066.114333333333</v>
      </c>
      <c r="X23" s="32">
        <f t="shared" si="16"/>
        <v>1842.7284199282001</v>
      </c>
      <c r="Y23" s="32">
        <f t="shared" si="16"/>
        <v>-223.38591340513338</v>
      </c>
      <c r="Z23" s="33">
        <v>594.15333333333331</v>
      </c>
      <c r="AA23" s="92">
        <f t="shared" si="8"/>
        <v>0</v>
      </c>
    </row>
    <row r="24" spans="1:27" ht="15.6" customHeight="1" x14ac:dyDescent="0.25">
      <c r="A24" s="79">
        <v>16</v>
      </c>
      <c r="B24" s="29" t="s">
        <v>37</v>
      </c>
      <c r="C24" s="89">
        <v>2100</v>
      </c>
      <c r="D24" s="61">
        <f>'CPDCL Q4 trueup'!D24</f>
        <v>3.2000000000000001E-2</v>
      </c>
      <c r="E24" s="78">
        <v>38.03</v>
      </c>
      <c r="F24" s="78">
        <v>34.321635000000001</v>
      </c>
      <c r="G24" s="74">
        <f t="shared" si="10"/>
        <v>-3.7083650000000006</v>
      </c>
      <c r="H24" s="78">
        <v>26.308333333333334</v>
      </c>
      <c r="I24" s="71">
        <v>27.865867999999999</v>
      </c>
      <c r="J24" s="74">
        <f t="shared" si="11"/>
        <v>1.5575346666666654</v>
      </c>
      <c r="K24" s="78">
        <f>E24*2.44</f>
        <v>92.793199999999999</v>
      </c>
      <c r="L24" s="71">
        <v>101.626363</v>
      </c>
      <c r="M24" s="74">
        <f t="shared" si="12"/>
        <v>8.833162999999999</v>
      </c>
      <c r="N24" s="71">
        <v>0</v>
      </c>
      <c r="O24" s="71">
        <v>0</v>
      </c>
      <c r="P24" s="74">
        <f t="shared" ref="P24:P38" si="17">O24-N24</f>
        <v>0</v>
      </c>
      <c r="Q24" s="71">
        <v>0</v>
      </c>
      <c r="R24" s="71">
        <v>0</v>
      </c>
      <c r="S24" s="74">
        <f t="shared" ref="S24:S38" si="18">R24-Q24</f>
        <v>0</v>
      </c>
      <c r="T24" s="71">
        <v>0</v>
      </c>
      <c r="U24" s="71">
        <v>0</v>
      </c>
      <c r="V24" s="74">
        <f t="shared" ref="V24:V38" si="19">U24-T24</f>
        <v>0</v>
      </c>
      <c r="W24" s="74">
        <f t="shared" ref="W24:X38" si="20">H24+K24+N24+Q24+T24</f>
        <v>119.10153333333334</v>
      </c>
      <c r="X24" s="74">
        <f t="shared" si="20"/>
        <v>129.492231</v>
      </c>
      <c r="Y24" s="74">
        <f t="shared" si="14"/>
        <v>10.390697666666668</v>
      </c>
      <c r="Z24" s="12">
        <v>26.308333333333334</v>
      </c>
      <c r="AA24" s="92">
        <f t="shared" si="8"/>
        <v>0</v>
      </c>
    </row>
    <row r="25" spans="1:27" ht="15.6" customHeight="1" x14ac:dyDescent="0.25">
      <c r="A25" s="79">
        <v>17</v>
      </c>
      <c r="B25" s="29" t="s">
        <v>38</v>
      </c>
      <c r="C25" s="89">
        <v>1000</v>
      </c>
      <c r="D25" s="61">
        <f>'CPDCL Q4 trueup'!D25</f>
        <v>0.1076</v>
      </c>
      <c r="E25" s="78">
        <v>61.04</v>
      </c>
      <c r="F25" s="78">
        <v>66.668492999999998</v>
      </c>
      <c r="G25" s="74">
        <f t="shared" si="10"/>
        <v>5.6284929999999989</v>
      </c>
      <c r="H25" s="78">
        <v>75.341666666666669</v>
      </c>
      <c r="I25" s="71">
        <v>63.953057000000001</v>
      </c>
      <c r="J25" s="74">
        <f t="shared" si="11"/>
        <v>-11.388609666666667</v>
      </c>
      <c r="K25" s="78">
        <f>E25*3.15</f>
        <v>192.27599999999998</v>
      </c>
      <c r="L25" s="71">
        <v>191.09511499999999</v>
      </c>
      <c r="M25" s="74">
        <f t="shared" si="12"/>
        <v>-1.1808849999999893</v>
      </c>
      <c r="N25" s="71">
        <v>0</v>
      </c>
      <c r="O25" s="71">
        <v>0</v>
      </c>
      <c r="P25" s="74">
        <f t="shared" si="17"/>
        <v>0</v>
      </c>
      <c r="Q25" s="71">
        <v>0</v>
      </c>
      <c r="R25" s="71">
        <v>0</v>
      </c>
      <c r="S25" s="74">
        <f t="shared" si="18"/>
        <v>0</v>
      </c>
      <c r="T25" s="71">
        <v>0</v>
      </c>
      <c r="U25" s="71">
        <v>0</v>
      </c>
      <c r="V25" s="74">
        <f t="shared" si="19"/>
        <v>0</v>
      </c>
      <c r="W25" s="74">
        <f t="shared" si="20"/>
        <v>267.61766666666665</v>
      </c>
      <c r="X25" s="74">
        <f t="shared" si="20"/>
        <v>255.04817199999999</v>
      </c>
      <c r="Y25" s="74">
        <f t="shared" si="14"/>
        <v>-12.569494666666657</v>
      </c>
      <c r="Z25" s="12">
        <v>75.341666666666669</v>
      </c>
      <c r="AA25" s="92">
        <f t="shared" si="8"/>
        <v>0</v>
      </c>
    </row>
    <row r="26" spans="1:27" ht="15.6" customHeight="1" x14ac:dyDescent="0.25">
      <c r="A26" s="79">
        <v>18</v>
      </c>
      <c r="B26" s="29" t="s">
        <v>39</v>
      </c>
      <c r="C26" s="89">
        <v>1000</v>
      </c>
      <c r="D26" s="61">
        <f>'CPDCL Q4 trueup'!D26</f>
        <v>4.9000000000000002E-2</v>
      </c>
      <c r="E26" s="78">
        <v>29.1</v>
      </c>
      <c r="F26" s="78">
        <v>26.593610000000002</v>
      </c>
      <c r="G26" s="74">
        <f t="shared" si="10"/>
        <v>-2.5063899999999997</v>
      </c>
      <c r="H26" s="78">
        <v>41.716666666666669</v>
      </c>
      <c r="I26" s="71">
        <v>85.52163497399998</v>
      </c>
      <c r="J26" s="74">
        <f t="shared" si="11"/>
        <v>43.804968307333311</v>
      </c>
      <c r="K26" s="78">
        <f>E26*3.09</f>
        <v>89.918999999999997</v>
      </c>
      <c r="L26" s="71">
        <v>80.711565962000009</v>
      </c>
      <c r="M26" s="74">
        <f t="shared" si="12"/>
        <v>-9.2074340379999882</v>
      </c>
      <c r="N26" s="71">
        <v>0</v>
      </c>
      <c r="O26" s="71">
        <v>0</v>
      </c>
      <c r="P26" s="74">
        <f t="shared" si="17"/>
        <v>0</v>
      </c>
      <c r="Q26" s="71">
        <v>0</v>
      </c>
      <c r="R26" s="71">
        <v>0</v>
      </c>
      <c r="S26" s="74">
        <f t="shared" si="18"/>
        <v>0</v>
      </c>
      <c r="T26" s="71">
        <v>0</v>
      </c>
      <c r="U26" s="71">
        <v>0</v>
      </c>
      <c r="V26" s="74">
        <f t="shared" si="19"/>
        <v>0</v>
      </c>
      <c r="W26" s="74">
        <f t="shared" si="20"/>
        <v>131.63566666666668</v>
      </c>
      <c r="X26" s="74">
        <f t="shared" si="20"/>
        <v>166.233200936</v>
      </c>
      <c r="Y26" s="74">
        <f t="shared" si="14"/>
        <v>34.597534269333323</v>
      </c>
      <c r="Z26" s="12">
        <v>41.716666666666669</v>
      </c>
      <c r="AA26" s="92">
        <f t="shared" si="8"/>
        <v>0</v>
      </c>
    </row>
    <row r="27" spans="1:27" ht="15.6" customHeight="1" x14ac:dyDescent="0.25">
      <c r="A27" s="79">
        <v>19</v>
      </c>
      <c r="B27" s="29" t="s">
        <v>40</v>
      </c>
      <c r="C27" s="89">
        <v>2000</v>
      </c>
      <c r="D27" s="61">
        <f>'CPDCL Q4 trueup'!D27</f>
        <v>2.1000000000000001E-2</v>
      </c>
      <c r="E27" s="78">
        <v>24.14</v>
      </c>
      <c r="F27" s="78">
        <v>23.282914999999999</v>
      </c>
      <c r="G27" s="74">
        <f t="shared" si="10"/>
        <v>-0.85708500000000143</v>
      </c>
      <c r="H27" s="78">
        <v>17.941666666666666</v>
      </c>
      <c r="I27" s="71">
        <v>18.793699</v>
      </c>
      <c r="J27" s="74">
        <f t="shared" si="11"/>
        <v>0.85203233333333372</v>
      </c>
      <c r="K27" s="78">
        <f>E27*1.98</f>
        <v>47.797200000000004</v>
      </c>
      <c r="L27" s="71">
        <v>36.251499000000003</v>
      </c>
      <c r="M27" s="74">
        <f t="shared" si="12"/>
        <v>-11.545701000000001</v>
      </c>
      <c r="N27" s="71">
        <v>0</v>
      </c>
      <c r="O27" s="71">
        <v>0</v>
      </c>
      <c r="P27" s="74">
        <f t="shared" si="17"/>
        <v>0</v>
      </c>
      <c r="Q27" s="71">
        <v>0</v>
      </c>
      <c r="R27" s="71">
        <v>0</v>
      </c>
      <c r="S27" s="74">
        <f t="shared" si="18"/>
        <v>0</v>
      </c>
      <c r="T27" s="71">
        <v>0</v>
      </c>
      <c r="U27" s="71">
        <v>0</v>
      </c>
      <c r="V27" s="74">
        <f t="shared" si="19"/>
        <v>0</v>
      </c>
      <c r="W27" s="74">
        <f t="shared" si="20"/>
        <v>65.738866666666667</v>
      </c>
      <c r="X27" s="74">
        <f t="shared" si="20"/>
        <v>55.045197999999999</v>
      </c>
      <c r="Y27" s="74">
        <f t="shared" si="14"/>
        <v>-10.693668666666667</v>
      </c>
      <c r="Z27" s="12">
        <v>17.941666666666666</v>
      </c>
      <c r="AA27" s="92">
        <f t="shared" si="8"/>
        <v>0</v>
      </c>
    </row>
    <row r="28" spans="1:27" ht="15.6" customHeight="1" x14ac:dyDescent="0.25">
      <c r="A28" s="79">
        <v>20</v>
      </c>
      <c r="B28" s="29" t="s">
        <v>41</v>
      </c>
      <c r="C28" s="89">
        <v>500</v>
      </c>
      <c r="D28" s="61">
        <f>'CPDCL Q4 trueup'!D28</f>
        <v>3.3700000000000001E-2</v>
      </c>
      <c r="E28" s="78">
        <v>10.56</v>
      </c>
      <c r="F28" s="78">
        <v>9.5332899999999992</v>
      </c>
      <c r="G28" s="74">
        <f t="shared" si="10"/>
        <v>-1.0267100000000013</v>
      </c>
      <c r="H28" s="78">
        <v>6.6749999999999998</v>
      </c>
      <c r="I28" s="71">
        <v>14.315728999999999</v>
      </c>
      <c r="J28" s="74">
        <f t="shared" si="11"/>
        <v>7.6407289999999994</v>
      </c>
      <c r="K28" s="78">
        <f>E28*2.4</f>
        <v>25.344000000000001</v>
      </c>
      <c r="L28" s="71">
        <v>27.713273999999998</v>
      </c>
      <c r="M28" s="74">
        <f t="shared" si="12"/>
        <v>2.3692739999999972</v>
      </c>
      <c r="N28" s="71">
        <v>0</v>
      </c>
      <c r="O28" s="71">
        <v>0</v>
      </c>
      <c r="P28" s="74">
        <f t="shared" si="17"/>
        <v>0</v>
      </c>
      <c r="Q28" s="71">
        <v>0</v>
      </c>
      <c r="R28" s="71">
        <v>0</v>
      </c>
      <c r="S28" s="74">
        <f t="shared" si="18"/>
        <v>0</v>
      </c>
      <c r="T28" s="71">
        <v>0</v>
      </c>
      <c r="U28" s="71">
        <v>0</v>
      </c>
      <c r="V28" s="74">
        <f t="shared" si="19"/>
        <v>0</v>
      </c>
      <c r="W28" s="74">
        <f t="shared" si="20"/>
        <v>32.018999999999998</v>
      </c>
      <c r="X28" s="74">
        <f t="shared" si="20"/>
        <v>42.029002999999996</v>
      </c>
      <c r="Y28" s="74">
        <f t="shared" si="14"/>
        <v>10.010002999999998</v>
      </c>
      <c r="Z28" s="12">
        <v>6.6749999999999998</v>
      </c>
      <c r="AA28" s="92">
        <f t="shared" si="8"/>
        <v>0</v>
      </c>
    </row>
    <row r="29" spans="1:27" ht="15.6" customHeight="1" x14ac:dyDescent="0.25">
      <c r="A29" s="79">
        <v>21</v>
      </c>
      <c r="B29" s="29" t="s">
        <v>42</v>
      </c>
      <c r="C29" s="89">
        <v>2400</v>
      </c>
      <c r="D29" s="61">
        <f>'CPDCL Q4 trueup'!D29</f>
        <v>2.3800000000000002E-2</v>
      </c>
      <c r="E29" s="78">
        <v>33.119999999999997</v>
      </c>
      <c r="F29" s="78">
        <v>34.072172000000002</v>
      </c>
      <c r="G29" s="74">
        <f t="shared" si="10"/>
        <v>0.95217200000000446</v>
      </c>
      <c r="H29" s="78">
        <v>44.258333333333333</v>
      </c>
      <c r="I29" s="71">
        <v>61.315660999999999</v>
      </c>
      <c r="J29" s="74">
        <f t="shared" si="11"/>
        <v>17.057327666666666</v>
      </c>
      <c r="K29" s="78">
        <f>E29*3.49</f>
        <v>115.58879999999999</v>
      </c>
      <c r="L29" s="71">
        <v>126.712051</v>
      </c>
      <c r="M29" s="74">
        <f t="shared" si="12"/>
        <v>11.12325100000001</v>
      </c>
      <c r="N29" s="71">
        <v>0</v>
      </c>
      <c r="O29" s="71">
        <v>0</v>
      </c>
      <c r="P29" s="74">
        <f t="shared" si="17"/>
        <v>0</v>
      </c>
      <c r="Q29" s="71">
        <v>0</v>
      </c>
      <c r="R29" s="71">
        <v>0</v>
      </c>
      <c r="S29" s="74">
        <f t="shared" si="18"/>
        <v>0</v>
      </c>
      <c r="T29" s="71">
        <v>0</v>
      </c>
      <c r="U29" s="71">
        <v>0</v>
      </c>
      <c r="V29" s="74">
        <f t="shared" si="19"/>
        <v>0</v>
      </c>
      <c r="W29" s="74">
        <f t="shared" si="20"/>
        <v>159.84713333333332</v>
      </c>
      <c r="X29" s="74">
        <f t="shared" si="20"/>
        <v>188.02771200000001</v>
      </c>
      <c r="Y29" s="74">
        <f t="shared" si="14"/>
        <v>28.18057866666669</v>
      </c>
      <c r="Z29" s="12">
        <v>44.258333333333333</v>
      </c>
      <c r="AA29" s="92">
        <f t="shared" si="8"/>
        <v>0</v>
      </c>
    </row>
    <row r="30" spans="1:27" ht="15.6" customHeight="1" x14ac:dyDescent="0.25">
      <c r="A30" s="79">
        <v>22</v>
      </c>
      <c r="B30" s="29" t="s">
        <v>86</v>
      </c>
      <c r="C30" s="89">
        <v>0</v>
      </c>
      <c r="D30" s="61"/>
      <c r="E30" s="78"/>
      <c r="F30" s="78">
        <v>0</v>
      </c>
      <c r="G30" s="74">
        <f t="shared" si="10"/>
        <v>0</v>
      </c>
      <c r="H30" s="78"/>
      <c r="I30" s="71">
        <v>0</v>
      </c>
      <c r="J30" s="74">
        <f t="shared" si="11"/>
        <v>0</v>
      </c>
      <c r="K30" s="78"/>
      <c r="L30" s="71">
        <v>0</v>
      </c>
      <c r="M30" s="74">
        <f t="shared" si="12"/>
        <v>0</v>
      </c>
      <c r="N30" s="71"/>
      <c r="O30" s="71">
        <v>0</v>
      </c>
      <c r="P30" s="74">
        <f t="shared" si="17"/>
        <v>0</v>
      </c>
      <c r="Q30" s="71"/>
      <c r="R30" s="71">
        <v>0</v>
      </c>
      <c r="S30" s="74">
        <f t="shared" si="18"/>
        <v>0</v>
      </c>
      <c r="T30" s="71"/>
      <c r="U30" s="71">
        <v>0</v>
      </c>
      <c r="V30" s="74">
        <f t="shared" si="19"/>
        <v>0</v>
      </c>
      <c r="W30" s="74"/>
      <c r="X30" s="74">
        <f t="shared" si="20"/>
        <v>0</v>
      </c>
      <c r="Y30" s="74">
        <f t="shared" si="14"/>
        <v>0</v>
      </c>
      <c r="Z30" s="12">
        <v>0</v>
      </c>
      <c r="AA30" s="92">
        <f t="shared" si="8"/>
        <v>0</v>
      </c>
    </row>
    <row r="31" spans="1:27" ht="15.6" customHeight="1" x14ac:dyDescent="0.25">
      <c r="A31" s="79">
        <v>23</v>
      </c>
      <c r="B31" s="29" t="s">
        <v>43</v>
      </c>
      <c r="C31" s="89">
        <v>1500</v>
      </c>
      <c r="D31" s="61">
        <f>'CPDCL Q4 trueup'!D31</f>
        <v>1.34E-2</v>
      </c>
      <c r="E31" s="78">
        <v>12.92</v>
      </c>
      <c r="F31" s="78">
        <v>13.099793</v>
      </c>
      <c r="G31" s="74">
        <f t="shared" si="10"/>
        <v>0.17979300000000009</v>
      </c>
      <c r="H31" s="78">
        <v>18.041666666666664</v>
      </c>
      <c r="I31" s="71">
        <v>23.682469000000001</v>
      </c>
      <c r="J31" s="74">
        <f t="shared" si="11"/>
        <v>5.6408023333333368</v>
      </c>
      <c r="K31" s="78">
        <f>E31*3.42</f>
        <v>44.186399999999999</v>
      </c>
      <c r="L31" s="71">
        <v>47.467750000000002</v>
      </c>
      <c r="M31" s="74">
        <f t="shared" si="12"/>
        <v>3.2813500000000033</v>
      </c>
      <c r="N31" s="71">
        <v>0</v>
      </c>
      <c r="O31" s="71">
        <v>0</v>
      </c>
      <c r="P31" s="74">
        <f t="shared" si="17"/>
        <v>0</v>
      </c>
      <c r="Q31" s="71">
        <v>0</v>
      </c>
      <c r="R31" s="71">
        <v>0</v>
      </c>
      <c r="S31" s="74">
        <f t="shared" si="18"/>
        <v>0</v>
      </c>
      <c r="T31" s="71">
        <v>0</v>
      </c>
      <c r="U31" s="71">
        <v>0</v>
      </c>
      <c r="V31" s="74">
        <f t="shared" si="19"/>
        <v>0</v>
      </c>
      <c r="W31" s="74">
        <f t="shared" si="20"/>
        <v>62.228066666666663</v>
      </c>
      <c r="X31" s="74">
        <f t="shared" si="20"/>
        <v>71.150219000000007</v>
      </c>
      <c r="Y31" s="74">
        <f t="shared" si="14"/>
        <v>8.9221523333333437</v>
      </c>
      <c r="Z31" s="12">
        <v>18.041666666666664</v>
      </c>
      <c r="AA31" s="92">
        <f t="shared" si="8"/>
        <v>0</v>
      </c>
    </row>
    <row r="32" spans="1:27" ht="15.6" customHeight="1" x14ac:dyDescent="0.25">
      <c r="A32" s="79">
        <v>24</v>
      </c>
      <c r="B32" s="29" t="s">
        <v>44</v>
      </c>
      <c r="C32" s="89">
        <v>630</v>
      </c>
      <c r="D32" s="61">
        <f>'CPDCL Q4 trueup'!D32</f>
        <v>1.7299999999999999E-2</v>
      </c>
      <c r="E32" s="78">
        <v>6.7</v>
      </c>
      <c r="F32" s="78">
        <v>7.3461210000000001</v>
      </c>
      <c r="G32" s="74">
        <f t="shared" si="10"/>
        <v>0.64612099999999995</v>
      </c>
      <c r="H32" s="78">
        <v>8.2833333333333332</v>
      </c>
      <c r="I32" s="71">
        <v>5.3056549999999998</v>
      </c>
      <c r="J32" s="74">
        <f t="shared" si="11"/>
        <v>-2.9776783333333334</v>
      </c>
      <c r="K32" s="78">
        <f>E32*2.88</f>
        <v>19.295999999999999</v>
      </c>
      <c r="L32" s="71">
        <v>19.175975999999999</v>
      </c>
      <c r="M32" s="74">
        <f t="shared" si="12"/>
        <v>-0.1200240000000008</v>
      </c>
      <c r="N32" s="71">
        <v>0</v>
      </c>
      <c r="O32" s="71">
        <v>0</v>
      </c>
      <c r="P32" s="74">
        <f t="shared" si="17"/>
        <v>0</v>
      </c>
      <c r="Q32" s="71">
        <v>0</v>
      </c>
      <c r="R32" s="71">
        <v>0</v>
      </c>
      <c r="S32" s="74">
        <f t="shared" si="18"/>
        <v>0</v>
      </c>
      <c r="T32" s="71">
        <v>0</v>
      </c>
      <c r="U32" s="71">
        <v>0</v>
      </c>
      <c r="V32" s="74">
        <f t="shared" si="19"/>
        <v>0</v>
      </c>
      <c r="W32" s="74">
        <f t="shared" si="20"/>
        <v>27.579333333333331</v>
      </c>
      <c r="X32" s="74">
        <f t="shared" si="20"/>
        <v>24.481631</v>
      </c>
      <c r="Y32" s="74">
        <f t="shared" si="14"/>
        <v>-3.0977023333333307</v>
      </c>
      <c r="Z32" s="12">
        <v>8.2833333333333332</v>
      </c>
      <c r="AA32" s="92">
        <f t="shared" si="8"/>
        <v>0</v>
      </c>
    </row>
    <row r="33" spans="1:27" ht="15.6" customHeight="1" x14ac:dyDescent="0.25">
      <c r="A33" s="79">
        <v>25</v>
      </c>
      <c r="B33" s="29" t="s">
        <v>45</v>
      </c>
      <c r="C33" s="89">
        <v>840</v>
      </c>
      <c r="D33" s="61">
        <f>'CPDCL Q4 trueup'!D33</f>
        <v>2.3800000000000002E-2</v>
      </c>
      <c r="E33" s="78">
        <v>12.02</v>
      </c>
      <c r="F33" s="78">
        <v>9.1667199999999998</v>
      </c>
      <c r="G33" s="74">
        <f t="shared" si="10"/>
        <v>-2.8532799999999998</v>
      </c>
      <c r="H33" s="78">
        <v>8.5583333333333336</v>
      </c>
      <c r="I33" s="71">
        <v>7.3667959999999999</v>
      </c>
      <c r="J33" s="74">
        <f t="shared" si="11"/>
        <v>-1.1915373333333337</v>
      </c>
      <c r="K33" s="78">
        <f>E33*2.77</f>
        <v>33.295400000000001</v>
      </c>
      <c r="L33" s="71">
        <v>23.850415000000002</v>
      </c>
      <c r="M33" s="74">
        <f t="shared" si="12"/>
        <v>-9.4449849999999991</v>
      </c>
      <c r="N33" s="71">
        <v>0</v>
      </c>
      <c r="O33" s="71">
        <v>0</v>
      </c>
      <c r="P33" s="74">
        <f t="shared" si="17"/>
        <v>0</v>
      </c>
      <c r="Q33" s="71">
        <v>0</v>
      </c>
      <c r="R33" s="71">
        <v>0</v>
      </c>
      <c r="S33" s="74">
        <f t="shared" si="18"/>
        <v>0</v>
      </c>
      <c r="T33" s="71">
        <v>0</v>
      </c>
      <c r="U33" s="71">
        <v>0</v>
      </c>
      <c r="V33" s="74">
        <f t="shared" si="19"/>
        <v>0</v>
      </c>
      <c r="W33" s="74">
        <f t="shared" si="20"/>
        <v>41.853733333333338</v>
      </c>
      <c r="X33" s="74">
        <f t="shared" si="20"/>
        <v>31.217211000000002</v>
      </c>
      <c r="Y33" s="74">
        <f t="shared" si="14"/>
        <v>-10.636522333333335</v>
      </c>
      <c r="Z33" s="12">
        <v>8.5583333333333336</v>
      </c>
      <c r="AA33" s="92">
        <f t="shared" si="8"/>
        <v>0</v>
      </c>
    </row>
    <row r="34" spans="1:27" ht="15.6" customHeight="1" x14ac:dyDescent="0.25">
      <c r="A34" s="79">
        <v>26</v>
      </c>
      <c r="B34" s="29" t="s">
        <v>19</v>
      </c>
      <c r="C34" s="89">
        <v>440</v>
      </c>
      <c r="D34" s="61">
        <f>'CPDCL Q4 trueup'!D34</f>
        <v>9.5999999999999992E-3</v>
      </c>
      <c r="E34" s="78">
        <v>0.99</v>
      </c>
      <c r="F34" s="78">
        <v>0.54589715940000005</v>
      </c>
      <c r="G34" s="74">
        <f t="shared" si="10"/>
        <v>-0.44410284059999994</v>
      </c>
      <c r="H34" s="78">
        <v>0</v>
      </c>
      <c r="I34" s="71">
        <v>0</v>
      </c>
      <c r="J34" s="74">
        <f t="shared" si="11"/>
        <v>0</v>
      </c>
      <c r="K34" s="78">
        <f>E34*2.61</f>
        <v>2.5838999999999999</v>
      </c>
      <c r="L34" s="71">
        <v>1.48245</v>
      </c>
      <c r="M34" s="74">
        <f t="shared" si="12"/>
        <v>-1.1014499999999998</v>
      </c>
      <c r="N34" s="71">
        <v>0</v>
      </c>
      <c r="O34" s="71">
        <v>0</v>
      </c>
      <c r="P34" s="74">
        <f t="shared" si="17"/>
        <v>0</v>
      </c>
      <c r="Q34" s="71">
        <v>0</v>
      </c>
      <c r="R34" s="71">
        <v>0</v>
      </c>
      <c r="S34" s="74">
        <f t="shared" si="18"/>
        <v>0</v>
      </c>
      <c r="T34" s="71">
        <v>0</v>
      </c>
      <c r="U34" s="71">
        <v>0</v>
      </c>
      <c r="V34" s="74">
        <f t="shared" si="19"/>
        <v>0</v>
      </c>
      <c r="W34" s="74">
        <f t="shared" si="20"/>
        <v>2.5838999999999999</v>
      </c>
      <c r="X34" s="74">
        <f t="shared" si="20"/>
        <v>1.48245</v>
      </c>
      <c r="Y34" s="74">
        <f t="shared" si="14"/>
        <v>-1.1014499999999998</v>
      </c>
      <c r="Z34" s="12">
        <v>0</v>
      </c>
      <c r="AA34" s="92">
        <f t="shared" si="8"/>
        <v>0</v>
      </c>
    </row>
    <row r="35" spans="1:27" ht="15.6" customHeight="1" x14ac:dyDescent="0.25">
      <c r="A35" s="79">
        <v>27</v>
      </c>
      <c r="B35" s="29" t="s">
        <v>46</v>
      </c>
      <c r="C35" s="107">
        <v>880</v>
      </c>
      <c r="D35" s="109">
        <f ca="1">'CPDCL Q4 trueup'!D35</f>
        <v>0</v>
      </c>
      <c r="E35" s="111">
        <v>15.87</v>
      </c>
      <c r="F35" s="106">
        <v>16.702229335799998</v>
      </c>
      <c r="G35" s="97">
        <f>F35-E35</f>
        <v>0.83222933579999925</v>
      </c>
      <c r="H35" s="111">
        <v>0</v>
      </c>
      <c r="I35" s="105">
        <v>0</v>
      </c>
      <c r="J35" s="97">
        <f t="shared" si="11"/>
        <v>0</v>
      </c>
      <c r="K35" s="111">
        <f>E35*3.48</f>
        <v>55.227599999999995</v>
      </c>
      <c r="L35" s="105">
        <v>57.971789770800001</v>
      </c>
      <c r="M35" s="97">
        <f t="shared" si="12"/>
        <v>2.7441897708000056</v>
      </c>
      <c r="N35" s="99">
        <v>0</v>
      </c>
      <c r="O35" s="99">
        <v>0</v>
      </c>
      <c r="P35" s="97">
        <f t="shared" si="17"/>
        <v>0</v>
      </c>
      <c r="Q35" s="99">
        <v>0</v>
      </c>
      <c r="R35" s="99">
        <v>0</v>
      </c>
      <c r="S35" s="97">
        <f t="shared" si="18"/>
        <v>0</v>
      </c>
      <c r="T35" s="99">
        <v>0</v>
      </c>
      <c r="U35" s="99">
        <v>0</v>
      </c>
      <c r="V35" s="97">
        <f t="shared" si="19"/>
        <v>0</v>
      </c>
      <c r="W35" s="97">
        <f t="shared" si="20"/>
        <v>55.227599999999995</v>
      </c>
      <c r="X35" s="97">
        <f t="shared" si="20"/>
        <v>57.971789770800001</v>
      </c>
      <c r="Y35" s="97">
        <f t="shared" si="14"/>
        <v>2.7441897708000056</v>
      </c>
      <c r="Z35" s="12">
        <v>0</v>
      </c>
      <c r="AA35" s="92">
        <f t="shared" si="8"/>
        <v>0</v>
      </c>
    </row>
    <row r="36" spans="1:27" ht="15.6" customHeight="1" x14ac:dyDescent="0.25">
      <c r="A36" s="79">
        <v>28</v>
      </c>
      <c r="B36" s="29" t="s">
        <v>47</v>
      </c>
      <c r="C36" s="108"/>
      <c r="D36" s="110"/>
      <c r="E36" s="112"/>
      <c r="F36" s="106"/>
      <c r="G36" s="98"/>
      <c r="H36" s="112"/>
      <c r="I36" s="105"/>
      <c r="J36" s="98"/>
      <c r="K36" s="112"/>
      <c r="L36" s="105"/>
      <c r="M36" s="98"/>
      <c r="N36" s="100"/>
      <c r="O36" s="100"/>
      <c r="P36" s="98"/>
      <c r="Q36" s="100"/>
      <c r="R36" s="100"/>
      <c r="S36" s="98"/>
      <c r="T36" s="100"/>
      <c r="U36" s="100"/>
      <c r="V36" s="98">
        <f t="shared" si="19"/>
        <v>0</v>
      </c>
      <c r="W36" s="98">
        <f t="shared" si="20"/>
        <v>0</v>
      </c>
      <c r="X36" s="98">
        <f t="shared" si="20"/>
        <v>0</v>
      </c>
      <c r="Y36" s="98">
        <f t="shared" si="14"/>
        <v>0</v>
      </c>
      <c r="Z36" s="12"/>
      <c r="AA36" s="92">
        <f>Z36-H36</f>
        <v>0</v>
      </c>
    </row>
    <row r="37" spans="1:27" ht="25.5" x14ac:dyDescent="0.25">
      <c r="A37" s="79">
        <v>29</v>
      </c>
      <c r="B37" s="29" t="s">
        <v>91</v>
      </c>
      <c r="C37" s="89">
        <v>1000</v>
      </c>
      <c r="D37" s="61">
        <f>'CPDCL Q4 trueup'!D37</f>
        <v>2.8299999999999999E-2</v>
      </c>
      <c r="E37" s="78">
        <v>16.899999999999999</v>
      </c>
      <c r="F37" s="78">
        <v>8.2254780000000007</v>
      </c>
      <c r="G37" s="74">
        <f t="shared" si="10"/>
        <v>-8.6745219999999978</v>
      </c>
      <c r="H37" s="78">
        <v>27.416666666666668</v>
      </c>
      <c r="I37" s="71">
        <v>17.136735999999999</v>
      </c>
      <c r="J37" s="74">
        <f t="shared" si="11"/>
        <v>-10.279930666666669</v>
      </c>
      <c r="K37" s="78">
        <f>E37*2.9</f>
        <v>49.009999999999991</v>
      </c>
      <c r="L37" s="71">
        <v>29.611720999999999</v>
      </c>
      <c r="M37" s="74">
        <f t="shared" si="12"/>
        <v>-19.398278999999992</v>
      </c>
      <c r="N37" s="71">
        <v>0</v>
      </c>
      <c r="O37" s="71">
        <v>0</v>
      </c>
      <c r="P37" s="74">
        <f t="shared" si="17"/>
        <v>0</v>
      </c>
      <c r="Q37" s="71">
        <v>0</v>
      </c>
      <c r="R37" s="71">
        <v>0</v>
      </c>
      <c r="S37" s="74">
        <f t="shared" si="18"/>
        <v>0</v>
      </c>
      <c r="T37" s="71">
        <v>0</v>
      </c>
      <c r="U37" s="71">
        <v>0</v>
      </c>
      <c r="V37" s="74">
        <f t="shared" si="19"/>
        <v>0</v>
      </c>
      <c r="W37" s="74">
        <f t="shared" si="20"/>
        <v>76.426666666666662</v>
      </c>
      <c r="X37" s="74">
        <f t="shared" si="20"/>
        <v>46.748457000000002</v>
      </c>
      <c r="Y37" s="74">
        <f t="shared" si="14"/>
        <v>-29.67820966666666</v>
      </c>
      <c r="Z37" s="12">
        <v>27.416666666666668</v>
      </c>
      <c r="AA37" s="92">
        <f t="shared" si="8"/>
        <v>0</v>
      </c>
    </row>
    <row r="38" spans="1:27" ht="15.95" customHeight="1" x14ac:dyDescent="0.25">
      <c r="A38" s="79">
        <v>30</v>
      </c>
      <c r="B38" s="29" t="s">
        <v>48</v>
      </c>
      <c r="C38" s="89">
        <v>1000</v>
      </c>
      <c r="D38" s="61">
        <f>'CPDCL Q4 trueup'!D38</f>
        <v>1.23E-2</v>
      </c>
      <c r="E38" s="78">
        <v>3.78</v>
      </c>
      <c r="F38" s="78">
        <v>6.8263850000000001</v>
      </c>
      <c r="G38" s="74">
        <f t="shared" si="10"/>
        <v>3.0463850000000003</v>
      </c>
      <c r="H38" s="78">
        <v>8.5749999999999993</v>
      </c>
      <c r="I38" s="71">
        <v>13.300307589200001</v>
      </c>
      <c r="J38" s="74">
        <f t="shared" si="11"/>
        <v>4.7253075892000016</v>
      </c>
      <c r="K38" s="78">
        <f>E38*2.34</f>
        <v>8.8451999999999984</v>
      </c>
      <c r="L38" s="71">
        <v>14.971520920000001</v>
      </c>
      <c r="M38" s="74">
        <f t="shared" si="12"/>
        <v>6.1263209200000031</v>
      </c>
      <c r="N38" s="71">
        <v>0</v>
      </c>
      <c r="O38" s="71">
        <v>0</v>
      </c>
      <c r="P38" s="74">
        <f t="shared" si="17"/>
        <v>0</v>
      </c>
      <c r="Q38" s="71">
        <v>0</v>
      </c>
      <c r="R38" s="71">
        <v>0</v>
      </c>
      <c r="S38" s="74">
        <f t="shared" si="18"/>
        <v>0</v>
      </c>
      <c r="T38" s="71">
        <v>0</v>
      </c>
      <c r="U38" s="71">
        <v>0</v>
      </c>
      <c r="V38" s="74">
        <f t="shared" si="19"/>
        <v>0</v>
      </c>
      <c r="W38" s="74">
        <f t="shared" si="20"/>
        <v>17.420199999999998</v>
      </c>
      <c r="X38" s="74">
        <f t="shared" si="20"/>
        <v>28.271828509200002</v>
      </c>
      <c r="Y38" s="74">
        <f t="shared" si="14"/>
        <v>10.851628509200005</v>
      </c>
      <c r="Z38" s="12">
        <v>8.5749999999999993</v>
      </c>
      <c r="AA38" s="92">
        <f t="shared" si="8"/>
        <v>0</v>
      </c>
    </row>
    <row r="39" spans="1:27" s="37" customFormat="1" ht="15.95" customHeight="1" x14ac:dyDescent="0.25">
      <c r="A39" s="31"/>
      <c r="B39" s="30" t="s">
        <v>49</v>
      </c>
      <c r="C39" s="90">
        <f>SUM(C24:C38)</f>
        <v>15290</v>
      </c>
      <c r="D39" s="32"/>
      <c r="E39" s="32">
        <f t="shared" ref="E39:Y39" si="21">SUM(E24:E38)</f>
        <v>265.16999999999996</v>
      </c>
      <c r="F39" s="32">
        <f t="shared" si="21"/>
        <v>256.3847384952</v>
      </c>
      <c r="G39" s="32">
        <f t="shared" si="21"/>
        <v>-8.7852615047999976</v>
      </c>
      <c r="H39" s="32">
        <f t="shared" si="21"/>
        <v>283.11666666666667</v>
      </c>
      <c r="I39" s="32">
        <f t="shared" si="21"/>
        <v>338.5576125632</v>
      </c>
      <c r="J39" s="32">
        <f t="shared" si="21"/>
        <v>55.440945896533322</v>
      </c>
      <c r="K39" s="32">
        <f t="shared" si="21"/>
        <v>776.16270000000009</v>
      </c>
      <c r="L39" s="32">
        <f t="shared" si="21"/>
        <v>758.64149065280003</v>
      </c>
      <c r="M39" s="32">
        <f t="shared" si="21"/>
        <v>-17.521209347199949</v>
      </c>
      <c r="N39" s="32">
        <f t="shared" si="21"/>
        <v>0</v>
      </c>
      <c r="O39" s="32">
        <f t="shared" si="21"/>
        <v>0</v>
      </c>
      <c r="P39" s="32">
        <f t="shared" si="21"/>
        <v>0</v>
      </c>
      <c r="Q39" s="32">
        <f t="shared" si="21"/>
        <v>0</v>
      </c>
      <c r="R39" s="32">
        <f t="shared" si="21"/>
        <v>0</v>
      </c>
      <c r="S39" s="32">
        <f t="shared" si="21"/>
        <v>0</v>
      </c>
      <c r="T39" s="32">
        <f t="shared" si="21"/>
        <v>0</v>
      </c>
      <c r="U39" s="32">
        <f t="shared" si="21"/>
        <v>0</v>
      </c>
      <c r="V39" s="32">
        <f t="shared" si="21"/>
        <v>0</v>
      </c>
      <c r="W39" s="32">
        <f t="shared" si="21"/>
        <v>1059.2793666666669</v>
      </c>
      <c r="X39" s="32">
        <f t="shared" si="21"/>
        <v>1097.1991032159999</v>
      </c>
      <c r="Y39" s="32">
        <f t="shared" si="21"/>
        <v>37.919736549333386</v>
      </c>
      <c r="Z39" s="33">
        <v>283.11666666666667</v>
      </c>
      <c r="AA39" s="92">
        <f t="shared" si="8"/>
        <v>0</v>
      </c>
    </row>
    <row r="40" spans="1:27" s="51" customFormat="1" ht="15.95" customHeight="1" x14ac:dyDescent="0.25">
      <c r="A40" s="84">
        <v>31</v>
      </c>
      <c r="B40" s="53" t="s">
        <v>50</v>
      </c>
      <c r="C40" s="91" t="str">
        <f ca="1">'CPDCL Q4 trueup'!C40</f>
        <v>**</v>
      </c>
      <c r="D40" s="85">
        <f>'CPDCL Q4 trueup'!D40</f>
        <v>0</v>
      </c>
      <c r="E40" s="55">
        <v>4.83</v>
      </c>
      <c r="F40" s="55">
        <v>4.5149530000000002</v>
      </c>
      <c r="G40" s="55">
        <f t="shared" si="10"/>
        <v>-0.31504699999999985</v>
      </c>
      <c r="H40" s="55">
        <v>9.0299999999999994</v>
      </c>
      <c r="I40" s="55">
        <v>0</v>
      </c>
      <c r="J40" s="55">
        <f t="shared" si="11"/>
        <v>-9.0299999999999994</v>
      </c>
      <c r="K40" s="55">
        <f>E40*3.58</f>
        <v>17.291399999999999</v>
      </c>
      <c r="L40" s="55">
        <v>22.439862000000002</v>
      </c>
      <c r="M40" s="55">
        <f t="shared" si="12"/>
        <v>5.1484620000000021</v>
      </c>
      <c r="N40" s="95">
        <v>0</v>
      </c>
      <c r="O40" s="95">
        <v>0</v>
      </c>
      <c r="P40" s="55">
        <f>O40-N40</f>
        <v>0</v>
      </c>
      <c r="Q40" s="95">
        <v>0</v>
      </c>
      <c r="R40" s="95">
        <v>0</v>
      </c>
      <c r="S40" s="55">
        <f>R40-Q40</f>
        <v>0</v>
      </c>
      <c r="T40" s="95">
        <v>0</v>
      </c>
      <c r="U40" s="95">
        <v>0</v>
      </c>
      <c r="V40" s="55">
        <f>U40-T40</f>
        <v>0</v>
      </c>
      <c r="W40" s="55">
        <f t="shared" ref="W40:X45" si="22">H40+K40+N40+Q40+T40</f>
        <v>26.321399999999997</v>
      </c>
      <c r="X40" s="55">
        <f t="shared" si="22"/>
        <v>22.439862000000002</v>
      </c>
      <c r="Y40" s="55">
        <f t="shared" si="14"/>
        <v>-3.8815379999999955</v>
      </c>
      <c r="Z40" s="50">
        <v>9.0300000000000011</v>
      </c>
      <c r="AA40" s="96">
        <f t="shared" si="8"/>
        <v>0</v>
      </c>
    </row>
    <row r="41" spans="1:27" ht="15.95" customHeight="1" x14ac:dyDescent="0.25">
      <c r="A41" s="79">
        <v>32</v>
      </c>
      <c r="B41" s="28" t="s">
        <v>51</v>
      </c>
      <c r="C41" s="78">
        <v>3766.6</v>
      </c>
      <c r="D41" s="61">
        <f>'CPDCL Q4 trueup'!D41</f>
        <v>0</v>
      </c>
      <c r="E41" s="78">
        <v>0</v>
      </c>
      <c r="F41" s="78">
        <v>0</v>
      </c>
      <c r="G41" s="74">
        <f t="shared" si="10"/>
        <v>0</v>
      </c>
      <c r="H41" s="78">
        <v>0</v>
      </c>
      <c r="I41" s="78">
        <v>0</v>
      </c>
      <c r="J41" s="74">
        <f t="shared" si="11"/>
        <v>0</v>
      </c>
      <c r="K41" s="78">
        <v>0</v>
      </c>
      <c r="L41" s="78">
        <v>0</v>
      </c>
      <c r="M41" s="74">
        <f t="shared" si="12"/>
        <v>0</v>
      </c>
      <c r="N41" s="71">
        <v>0</v>
      </c>
      <c r="O41" s="71">
        <v>0</v>
      </c>
      <c r="P41" s="74">
        <f t="shared" ref="P41:P45" si="23">O41-N41</f>
        <v>0</v>
      </c>
      <c r="Q41" s="71">
        <v>0</v>
      </c>
      <c r="R41" s="71">
        <v>0</v>
      </c>
      <c r="S41" s="74">
        <f t="shared" ref="S41:S45" si="24">R41-Q41</f>
        <v>0</v>
      </c>
      <c r="T41" s="71">
        <v>0</v>
      </c>
      <c r="U41" s="71">
        <v>0</v>
      </c>
      <c r="V41" s="74">
        <f t="shared" ref="V41:V45" si="25">U41-T41</f>
        <v>0</v>
      </c>
      <c r="W41" s="74">
        <f t="shared" si="22"/>
        <v>0</v>
      </c>
      <c r="X41" s="74">
        <f t="shared" si="22"/>
        <v>0</v>
      </c>
      <c r="Y41" s="74">
        <f t="shared" si="14"/>
        <v>0</v>
      </c>
      <c r="Z41" s="12">
        <v>0</v>
      </c>
      <c r="AA41" s="92">
        <f t="shared" si="8"/>
        <v>0</v>
      </c>
    </row>
    <row r="42" spans="1:27" ht="15.95" customHeight="1" x14ac:dyDescent="0.25">
      <c r="A42" s="79">
        <v>33</v>
      </c>
      <c r="B42" s="28" t="s">
        <v>52</v>
      </c>
      <c r="C42" s="78">
        <v>309.66000000000003</v>
      </c>
      <c r="D42" s="61">
        <f>'CPDCL Q4 trueup'!D42</f>
        <v>0.29780000000000001</v>
      </c>
      <c r="E42" s="78">
        <v>16.02</v>
      </c>
      <c r="F42" s="78">
        <v>13.248823</v>
      </c>
      <c r="G42" s="74">
        <f t="shared" si="10"/>
        <v>-2.7711769999999998</v>
      </c>
      <c r="H42" s="78">
        <v>0</v>
      </c>
      <c r="I42" s="78">
        <v>0</v>
      </c>
      <c r="J42" s="74">
        <f t="shared" si="11"/>
        <v>0</v>
      </c>
      <c r="K42" s="78">
        <f>E42*5.14</f>
        <v>82.342799999999997</v>
      </c>
      <c r="L42" s="78">
        <v>80.977031499999995</v>
      </c>
      <c r="M42" s="74">
        <f t="shared" si="12"/>
        <v>-1.3657685000000015</v>
      </c>
      <c r="N42" s="71">
        <v>0</v>
      </c>
      <c r="O42" s="71">
        <v>0</v>
      </c>
      <c r="P42" s="74">
        <f t="shared" si="23"/>
        <v>0</v>
      </c>
      <c r="Q42" s="71">
        <v>0</v>
      </c>
      <c r="R42" s="71">
        <v>0</v>
      </c>
      <c r="S42" s="74">
        <f t="shared" si="24"/>
        <v>0</v>
      </c>
      <c r="T42" s="71">
        <v>0</v>
      </c>
      <c r="U42" s="71">
        <v>0</v>
      </c>
      <c r="V42" s="74">
        <f t="shared" si="25"/>
        <v>0</v>
      </c>
      <c r="W42" s="74">
        <f t="shared" si="22"/>
        <v>82.342799999999997</v>
      </c>
      <c r="X42" s="74">
        <f t="shared" si="22"/>
        <v>80.977031499999995</v>
      </c>
      <c r="Y42" s="74">
        <f t="shared" si="14"/>
        <v>-1.3657685000000015</v>
      </c>
      <c r="Z42" s="12">
        <v>0</v>
      </c>
      <c r="AA42" s="92">
        <f t="shared" si="8"/>
        <v>0</v>
      </c>
    </row>
    <row r="43" spans="1:27" ht="15.95" customHeight="1" x14ac:dyDescent="0.25">
      <c r="A43" s="79">
        <v>34</v>
      </c>
      <c r="B43" s="28" t="s">
        <v>53</v>
      </c>
      <c r="C43" s="78">
        <v>1466.43</v>
      </c>
      <c r="D43" s="61">
        <f>'CPDCL Q4 trueup'!D43</f>
        <v>1.9099999999999999E-2</v>
      </c>
      <c r="E43" s="78">
        <v>9.2799999999999994</v>
      </c>
      <c r="F43" s="78">
        <v>3.5850960000000001</v>
      </c>
      <c r="G43" s="74">
        <f t="shared" si="10"/>
        <v>-5.6949039999999993</v>
      </c>
      <c r="H43" s="78">
        <v>0</v>
      </c>
      <c r="I43" s="78">
        <v>0</v>
      </c>
      <c r="J43" s="74">
        <f t="shared" si="11"/>
        <v>0</v>
      </c>
      <c r="K43" s="78">
        <f>E43*2.44</f>
        <v>22.643199999999997</v>
      </c>
      <c r="L43" s="78">
        <v>25.034118457599998</v>
      </c>
      <c r="M43" s="74">
        <f t="shared" si="12"/>
        <v>2.3909184576000015</v>
      </c>
      <c r="N43" s="71">
        <v>0</v>
      </c>
      <c r="O43" s="71">
        <v>0</v>
      </c>
      <c r="P43" s="74">
        <f t="shared" si="23"/>
        <v>0</v>
      </c>
      <c r="Q43" s="71">
        <v>0</v>
      </c>
      <c r="R43" s="71">
        <v>0</v>
      </c>
      <c r="S43" s="74">
        <f t="shared" si="24"/>
        <v>0</v>
      </c>
      <c r="T43" s="71">
        <v>0</v>
      </c>
      <c r="U43" s="71">
        <v>0</v>
      </c>
      <c r="V43" s="74">
        <f t="shared" si="25"/>
        <v>0</v>
      </c>
      <c r="W43" s="74">
        <f t="shared" si="22"/>
        <v>22.643199999999997</v>
      </c>
      <c r="X43" s="74">
        <f t="shared" si="22"/>
        <v>25.034118457599998</v>
      </c>
      <c r="Y43" s="74">
        <f t="shared" si="14"/>
        <v>2.3909184576000015</v>
      </c>
      <c r="Z43" s="12">
        <v>0</v>
      </c>
      <c r="AA43" s="92">
        <f t="shared" si="8"/>
        <v>0</v>
      </c>
    </row>
    <row r="44" spans="1:27" ht="15.95" customHeight="1" x14ac:dyDescent="0.25">
      <c r="A44" s="79">
        <v>35</v>
      </c>
      <c r="B44" s="28" t="s">
        <v>54</v>
      </c>
      <c r="C44" s="89">
        <v>39</v>
      </c>
      <c r="D44" s="61">
        <f>'CPDCL Q4 trueup'!D44</f>
        <v>0</v>
      </c>
      <c r="E44" s="78">
        <v>1.27</v>
      </c>
      <c r="F44" s="78">
        <v>0</v>
      </c>
      <c r="G44" s="74">
        <f t="shared" si="10"/>
        <v>-1.27</v>
      </c>
      <c r="H44" s="78">
        <v>0</v>
      </c>
      <c r="I44" s="78">
        <v>0</v>
      </c>
      <c r="J44" s="74">
        <f t="shared" si="11"/>
        <v>0</v>
      </c>
      <c r="K44" s="78">
        <f>E44*10.5</f>
        <v>13.335000000000001</v>
      </c>
      <c r="L44" s="78">
        <v>0</v>
      </c>
      <c r="M44" s="74">
        <f t="shared" si="12"/>
        <v>-13.335000000000001</v>
      </c>
      <c r="N44" s="71">
        <v>0</v>
      </c>
      <c r="O44" s="71">
        <v>0</v>
      </c>
      <c r="P44" s="74">
        <f t="shared" si="23"/>
        <v>0</v>
      </c>
      <c r="Q44" s="71">
        <v>0</v>
      </c>
      <c r="R44" s="71">
        <v>0</v>
      </c>
      <c r="S44" s="74">
        <f t="shared" si="24"/>
        <v>0</v>
      </c>
      <c r="T44" s="71">
        <v>0</v>
      </c>
      <c r="U44" s="71">
        <v>0</v>
      </c>
      <c r="V44" s="74">
        <f t="shared" si="25"/>
        <v>0</v>
      </c>
      <c r="W44" s="74">
        <f t="shared" si="22"/>
        <v>13.335000000000001</v>
      </c>
      <c r="X44" s="74">
        <f t="shared" si="22"/>
        <v>0</v>
      </c>
      <c r="Y44" s="74">
        <f t="shared" si="14"/>
        <v>-13.335000000000001</v>
      </c>
      <c r="Z44" s="12">
        <v>0</v>
      </c>
      <c r="AA44" s="92">
        <f t="shared" si="8"/>
        <v>0</v>
      </c>
    </row>
    <row r="45" spans="1:27" ht="15.95" customHeight="1" x14ac:dyDescent="0.25">
      <c r="A45" s="79">
        <v>36</v>
      </c>
      <c r="B45" s="28" t="s">
        <v>55</v>
      </c>
      <c r="C45" s="89">
        <v>1250</v>
      </c>
      <c r="D45" s="61">
        <f>'CPDCL Q4 trueup'!D45</f>
        <v>0</v>
      </c>
      <c r="E45" s="78">
        <v>0</v>
      </c>
      <c r="F45" s="78">
        <v>0</v>
      </c>
      <c r="G45" s="74">
        <f t="shared" si="10"/>
        <v>0</v>
      </c>
      <c r="H45" s="78">
        <v>0</v>
      </c>
      <c r="I45" s="78">
        <v>0</v>
      </c>
      <c r="J45" s="74">
        <f t="shared" si="11"/>
        <v>0</v>
      </c>
      <c r="K45" s="78">
        <f t="shared" ref="K45" si="26">E45*5.14</f>
        <v>0</v>
      </c>
      <c r="L45" s="78">
        <v>0</v>
      </c>
      <c r="M45" s="74">
        <f t="shared" si="12"/>
        <v>0</v>
      </c>
      <c r="N45" s="71">
        <v>0</v>
      </c>
      <c r="O45" s="71">
        <v>0</v>
      </c>
      <c r="P45" s="74">
        <f t="shared" si="23"/>
        <v>0</v>
      </c>
      <c r="Q45" s="71">
        <v>0</v>
      </c>
      <c r="R45" s="71">
        <v>0</v>
      </c>
      <c r="S45" s="74">
        <f t="shared" si="24"/>
        <v>0</v>
      </c>
      <c r="T45" s="71">
        <v>0</v>
      </c>
      <c r="U45" s="71">
        <v>0</v>
      </c>
      <c r="V45" s="74">
        <f t="shared" si="25"/>
        <v>0</v>
      </c>
      <c r="W45" s="74">
        <f t="shared" si="22"/>
        <v>0</v>
      </c>
      <c r="X45" s="74">
        <f t="shared" si="22"/>
        <v>0</v>
      </c>
      <c r="Y45" s="74">
        <f t="shared" si="14"/>
        <v>0</v>
      </c>
      <c r="Z45" s="12">
        <v>0</v>
      </c>
      <c r="AA45" s="92">
        <f t="shared" si="8"/>
        <v>0</v>
      </c>
    </row>
    <row r="46" spans="1:27" s="37" customFormat="1" ht="15.95" customHeight="1" x14ac:dyDescent="0.25">
      <c r="A46" s="31"/>
      <c r="B46" s="30" t="s">
        <v>56</v>
      </c>
      <c r="C46" s="32">
        <f>SUM(C41:C45)</f>
        <v>6831.69</v>
      </c>
      <c r="D46" s="32"/>
      <c r="E46" s="32">
        <f t="shared" ref="E46:Y46" si="27">SUM(E41:E45)</f>
        <v>26.569999999999997</v>
      </c>
      <c r="F46" s="32">
        <f t="shared" si="27"/>
        <v>16.833919000000002</v>
      </c>
      <c r="G46" s="32">
        <f t="shared" si="27"/>
        <v>-9.7360809999999987</v>
      </c>
      <c r="H46" s="32">
        <f t="shared" si="27"/>
        <v>0</v>
      </c>
      <c r="I46" s="32">
        <f t="shared" si="27"/>
        <v>0</v>
      </c>
      <c r="J46" s="32">
        <f t="shared" si="27"/>
        <v>0</v>
      </c>
      <c r="K46" s="32">
        <f t="shared" si="27"/>
        <v>118.321</v>
      </c>
      <c r="L46" s="32">
        <f t="shared" si="27"/>
        <v>106.0111499576</v>
      </c>
      <c r="M46" s="32">
        <f t="shared" si="27"/>
        <v>-12.309850042400001</v>
      </c>
      <c r="N46" s="32">
        <f t="shared" si="27"/>
        <v>0</v>
      </c>
      <c r="O46" s="32">
        <f t="shared" si="27"/>
        <v>0</v>
      </c>
      <c r="P46" s="32">
        <f t="shared" si="27"/>
        <v>0</v>
      </c>
      <c r="Q46" s="32">
        <f t="shared" si="27"/>
        <v>0</v>
      </c>
      <c r="R46" s="32">
        <f t="shared" si="27"/>
        <v>0</v>
      </c>
      <c r="S46" s="32">
        <f t="shared" si="27"/>
        <v>0</v>
      </c>
      <c r="T46" s="32">
        <f t="shared" si="27"/>
        <v>0</v>
      </c>
      <c r="U46" s="32">
        <f t="shared" si="27"/>
        <v>0</v>
      </c>
      <c r="V46" s="32">
        <f t="shared" si="27"/>
        <v>0</v>
      </c>
      <c r="W46" s="32">
        <f t="shared" si="27"/>
        <v>118.321</v>
      </c>
      <c r="X46" s="32">
        <f t="shared" si="27"/>
        <v>106.0111499576</v>
      </c>
      <c r="Y46" s="32">
        <f t="shared" si="27"/>
        <v>-12.309850042400001</v>
      </c>
      <c r="Z46" s="33">
        <v>0</v>
      </c>
      <c r="AA46" s="92">
        <f t="shared" si="8"/>
        <v>0</v>
      </c>
    </row>
    <row r="47" spans="1:27" ht="15.95" customHeight="1" x14ac:dyDescent="0.25">
      <c r="A47" s="79">
        <v>37</v>
      </c>
      <c r="B47" s="28" t="s">
        <v>57</v>
      </c>
      <c r="C47" s="89">
        <v>216</v>
      </c>
      <c r="D47" s="61">
        <f>'CPDCL Q4 trueup'!D47</f>
        <v>0.2334</v>
      </c>
      <c r="E47" s="78">
        <v>20.47</v>
      </c>
      <c r="F47" s="78">
        <v>9.767282121600001</v>
      </c>
      <c r="G47" s="74">
        <f t="shared" si="10"/>
        <v>-10.702717878399998</v>
      </c>
      <c r="H47" s="78">
        <v>3.8916666666666666</v>
      </c>
      <c r="I47" s="71">
        <v>4.2177781685999998</v>
      </c>
      <c r="J47" s="74">
        <f t="shared" si="11"/>
        <v>0.32611150193333316</v>
      </c>
      <c r="K47" s="78">
        <f>E47*2.2</f>
        <v>45.033999999999999</v>
      </c>
      <c r="L47" s="71">
        <v>28.714211216999999</v>
      </c>
      <c r="M47" s="74">
        <f t="shared" si="12"/>
        <v>-16.319788783</v>
      </c>
      <c r="N47" s="71">
        <v>0</v>
      </c>
      <c r="O47" s="71">
        <v>0</v>
      </c>
      <c r="P47" s="74">
        <f t="shared" ref="P47:P50" si="28">O47-N47</f>
        <v>0</v>
      </c>
      <c r="Q47" s="71">
        <v>0</v>
      </c>
      <c r="R47" s="71">
        <v>0</v>
      </c>
      <c r="S47" s="74">
        <f t="shared" ref="S47:S50" si="29">R47-Q47</f>
        <v>0</v>
      </c>
      <c r="T47" s="71">
        <v>0</v>
      </c>
      <c r="U47" s="71">
        <v>0</v>
      </c>
      <c r="V47" s="74">
        <f t="shared" ref="V47:V50" si="30">U47-T47</f>
        <v>0</v>
      </c>
      <c r="W47" s="74">
        <f t="shared" ref="W47:X49" si="31">H47+K47+N47+Q47+T47</f>
        <v>48.925666666666665</v>
      </c>
      <c r="X47" s="74">
        <f t="shared" si="31"/>
        <v>32.931989385599998</v>
      </c>
      <c r="Y47" s="74">
        <f t="shared" si="14"/>
        <v>-15.993677281066667</v>
      </c>
      <c r="Z47" s="12">
        <v>3.8916666666666666</v>
      </c>
      <c r="AA47" s="92">
        <f t="shared" si="8"/>
        <v>0</v>
      </c>
    </row>
    <row r="48" spans="1:27" ht="15.95" customHeight="1" x14ac:dyDescent="0.25">
      <c r="A48" s="79">
        <v>38</v>
      </c>
      <c r="B48" s="28" t="s">
        <v>20</v>
      </c>
      <c r="C48" s="89">
        <v>1240</v>
      </c>
      <c r="D48" s="61">
        <f>'CPDCL Q4 trueup'!D48</f>
        <v>4.3400000000000001E-2</v>
      </c>
      <c r="E48" s="78">
        <v>31.99</v>
      </c>
      <c r="F48" s="78">
        <v>33.224669718000001</v>
      </c>
      <c r="G48" s="74">
        <f t="shared" si="10"/>
        <v>1.2346697180000028</v>
      </c>
      <c r="H48" s="78">
        <v>54.349999999999994</v>
      </c>
      <c r="I48" s="71">
        <v>50.083058124600001</v>
      </c>
      <c r="J48" s="74">
        <f t="shared" si="11"/>
        <v>-4.2669418753999935</v>
      </c>
      <c r="K48" s="78">
        <f>E48*2.33</f>
        <v>74.536699999999996</v>
      </c>
      <c r="L48" s="71">
        <v>73.22717203980001</v>
      </c>
      <c r="M48" s="74">
        <f t="shared" si="12"/>
        <v>-1.3095279601999863</v>
      </c>
      <c r="N48" s="71">
        <v>0</v>
      </c>
      <c r="O48" s="71">
        <v>0</v>
      </c>
      <c r="P48" s="74">
        <f t="shared" si="28"/>
        <v>0</v>
      </c>
      <c r="Q48" s="71">
        <v>0</v>
      </c>
      <c r="R48" s="71">
        <v>0</v>
      </c>
      <c r="S48" s="74">
        <f t="shared" si="29"/>
        <v>0</v>
      </c>
      <c r="T48" s="71">
        <v>0</v>
      </c>
      <c r="U48" s="71">
        <v>0</v>
      </c>
      <c r="V48" s="74">
        <f t="shared" si="30"/>
        <v>0</v>
      </c>
      <c r="W48" s="74">
        <f t="shared" si="31"/>
        <v>128.88669999999999</v>
      </c>
      <c r="X48" s="74">
        <f t="shared" si="31"/>
        <v>123.31023016440001</v>
      </c>
      <c r="Y48" s="74">
        <f t="shared" si="14"/>
        <v>-5.5764698355999798</v>
      </c>
      <c r="Z48" s="12">
        <v>54.349999999999994</v>
      </c>
      <c r="AA48" s="92">
        <f t="shared" si="8"/>
        <v>0</v>
      </c>
    </row>
    <row r="49" spans="1:28" ht="15.95" customHeight="1" x14ac:dyDescent="0.25">
      <c r="A49" s="79">
        <v>39</v>
      </c>
      <c r="B49" s="28" t="s">
        <v>88</v>
      </c>
      <c r="C49" s="89">
        <v>1440</v>
      </c>
      <c r="D49" s="61">
        <f>'CPDCL Q4 trueup'!D49</f>
        <v>0.21010000000000001</v>
      </c>
      <c r="E49" s="78">
        <f>104+104</f>
        <v>208</v>
      </c>
      <c r="F49" s="78">
        <v>136.86552659999998</v>
      </c>
      <c r="G49" s="74">
        <f t="shared" si="10"/>
        <v>-71.134473400000019</v>
      </c>
      <c r="H49" s="78">
        <v>346.44166666666672</v>
      </c>
      <c r="I49" s="71">
        <v>237.65883812999999</v>
      </c>
      <c r="J49" s="74">
        <f t="shared" si="11"/>
        <v>-108.78282853666673</v>
      </c>
      <c r="K49" s="78">
        <f>E49*3.14</f>
        <v>653.12</v>
      </c>
      <c r="L49" s="71">
        <v>429.75775352400001</v>
      </c>
      <c r="M49" s="74">
        <f t="shared" si="12"/>
        <v>-223.362246476</v>
      </c>
      <c r="N49" s="71">
        <v>0</v>
      </c>
      <c r="O49" s="71">
        <v>0</v>
      </c>
      <c r="P49" s="74">
        <f t="shared" si="28"/>
        <v>0</v>
      </c>
      <c r="Q49" s="71">
        <v>0</v>
      </c>
      <c r="R49" s="71">
        <v>0</v>
      </c>
      <c r="S49" s="74">
        <f t="shared" si="29"/>
        <v>0</v>
      </c>
      <c r="T49" s="71">
        <v>0</v>
      </c>
      <c r="U49" s="71">
        <v>0</v>
      </c>
      <c r="V49" s="74">
        <f t="shared" si="30"/>
        <v>0</v>
      </c>
      <c r="W49" s="74">
        <f t="shared" si="31"/>
        <v>999.56166666666672</v>
      </c>
      <c r="X49" s="74">
        <f t="shared" si="31"/>
        <v>667.41659165400006</v>
      </c>
      <c r="Y49" s="74">
        <f t="shared" si="14"/>
        <v>-332.14507501266667</v>
      </c>
      <c r="Z49" s="12">
        <v>346.44166666666672</v>
      </c>
      <c r="AA49" s="92">
        <f t="shared" si="8"/>
        <v>0</v>
      </c>
    </row>
    <row r="50" spans="1:28" ht="15.95" customHeight="1" x14ac:dyDescent="0.25">
      <c r="A50" s="79">
        <v>40</v>
      </c>
      <c r="B50" s="28" t="s">
        <v>87</v>
      </c>
      <c r="C50" s="89">
        <f>'CPDCL Q4 trueup'!C50</f>
        <v>1040</v>
      </c>
      <c r="D50" s="61">
        <f>'CPDCL Q4 trueup'!D50</f>
        <v>0.2334</v>
      </c>
      <c r="E50" s="78">
        <v>0</v>
      </c>
      <c r="F50" s="78">
        <v>34.9152396</v>
      </c>
      <c r="G50" s="74">
        <f t="shared" ref="G50" si="32">F50-E50</f>
        <v>34.9152396</v>
      </c>
      <c r="H50" s="78">
        <v>0</v>
      </c>
      <c r="I50" s="71">
        <v>0</v>
      </c>
      <c r="J50" s="74">
        <v>0</v>
      </c>
      <c r="K50" s="78">
        <v>0</v>
      </c>
      <c r="L50" s="71">
        <v>133.376215272</v>
      </c>
      <c r="M50" s="74">
        <v>133.376215272</v>
      </c>
      <c r="N50" s="71">
        <v>0</v>
      </c>
      <c r="O50" s="71">
        <v>0</v>
      </c>
      <c r="P50" s="74">
        <f t="shared" si="28"/>
        <v>0</v>
      </c>
      <c r="Q50" s="71">
        <v>0</v>
      </c>
      <c r="R50" s="71">
        <v>0</v>
      </c>
      <c r="S50" s="74">
        <f t="shared" si="29"/>
        <v>0</v>
      </c>
      <c r="T50" s="71">
        <v>0</v>
      </c>
      <c r="U50" s="71">
        <v>0</v>
      </c>
      <c r="V50" s="74">
        <f t="shared" si="30"/>
        <v>0</v>
      </c>
      <c r="W50" s="74">
        <f t="shared" ref="W50" si="33">H50+K50+N50+Q50+T50</f>
        <v>0</v>
      </c>
      <c r="X50" s="74">
        <f t="shared" ref="X50" si="34">I50+L50+O50+R50+U50</f>
        <v>133.376215272</v>
      </c>
      <c r="Y50" s="74">
        <f t="shared" ref="Y50" si="35">X50-W50</f>
        <v>133.376215272</v>
      </c>
      <c r="Z50" s="12">
        <v>0</v>
      </c>
      <c r="AA50" s="92">
        <f t="shared" si="8"/>
        <v>0</v>
      </c>
    </row>
    <row r="51" spans="1:28" s="37" customFormat="1" ht="15.95" customHeight="1" x14ac:dyDescent="0.25">
      <c r="A51" s="31"/>
      <c r="B51" s="30" t="s">
        <v>59</v>
      </c>
      <c r="C51" s="90">
        <f>SUM(C47:C50)</f>
        <v>3936</v>
      </c>
      <c r="D51" s="32"/>
      <c r="E51" s="32">
        <f t="shared" ref="E51:Y51" si="36">SUM(E47:E50)</f>
        <v>260.45999999999998</v>
      </c>
      <c r="F51" s="32">
        <f t="shared" si="36"/>
        <v>214.77271803959999</v>
      </c>
      <c r="G51" s="32">
        <f t="shared" si="36"/>
        <v>-45.687281960400021</v>
      </c>
      <c r="H51" s="32">
        <f t="shared" si="36"/>
        <v>404.68333333333339</v>
      </c>
      <c r="I51" s="32">
        <f t="shared" si="36"/>
        <v>291.9596744232</v>
      </c>
      <c r="J51" s="32">
        <f t="shared" si="36"/>
        <v>-112.72365891013339</v>
      </c>
      <c r="K51" s="32">
        <f t="shared" si="36"/>
        <v>772.69069999999999</v>
      </c>
      <c r="L51" s="32">
        <f t="shared" si="36"/>
        <v>665.07535205279999</v>
      </c>
      <c r="M51" s="32">
        <f t="shared" si="36"/>
        <v>-107.61534794719998</v>
      </c>
      <c r="N51" s="32">
        <f t="shared" si="36"/>
        <v>0</v>
      </c>
      <c r="O51" s="32">
        <f t="shared" si="36"/>
        <v>0</v>
      </c>
      <c r="P51" s="32">
        <f t="shared" si="36"/>
        <v>0</v>
      </c>
      <c r="Q51" s="32">
        <f t="shared" si="36"/>
        <v>0</v>
      </c>
      <c r="R51" s="32">
        <f t="shared" si="36"/>
        <v>0</v>
      </c>
      <c r="S51" s="32">
        <f t="shared" si="36"/>
        <v>0</v>
      </c>
      <c r="T51" s="32">
        <f t="shared" si="36"/>
        <v>0</v>
      </c>
      <c r="U51" s="32">
        <f t="shared" si="36"/>
        <v>0</v>
      </c>
      <c r="V51" s="32">
        <f t="shared" si="36"/>
        <v>0</v>
      </c>
      <c r="W51" s="32">
        <f t="shared" si="36"/>
        <v>1177.3740333333335</v>
      </c>
      <c r="X51" s="32">
        <f t="shared" si="36"/>
        <v>957.0350264760001</v>
      </c>
      <c r="Y51" s="32">
        <f t="shared" si="36"/>
        <v>-220.33900685733332</v>
      </c>
      <c r="Z51" s="33">
        <v>404.68333333333339</v>
      </c>
      <c r="AA51" s="92">
        <f t="shared" si="8"/>
        <v>0</v>
      </c>
    </row>
    <row r="52" spans="1:28" s="37" customFormat="1" ht="15.95" customHeight="1" x14ac:dyDescent="0.25">
      <c r="A52" s="31"/>
      <c r="B52" s="30" t="s">
        <v>60</v>
      </c>
      <c r="C52" s="32"/>
      <c r="D52" s="32"/>
      <c r="E52" s="32">
        <f>E23+E39+E40+E46+E51</f>
        <v>1039.73</v>
      </c>
      <c r="F52" s="32">
        <f t="shared" ref="F52:Y52" si="37">F23+F39+F40+F46+F51</f>
        <v>905.19612565940008</v>
      </c>
      <c r="G52" s="32">
        <f t="shared" si="37"/>
        <v>-134.53387434060002</v>
      </c>
      <c r="H52" s="32">
        <f t="shared" si="37"/>
        <v>1290.9833333333333</v>
      </c>
      <c r="I52" s="32">
        <f t="shared" si="37"/>
        <v>1224.6661620641999</v>
      </c>
      <c r="J52" s="32">
        <f t="shared" si="37"/>
        <v>-66.317171269133411</v>
      </c>
      <c r="K52" s="32">
        <f t="shared" si="37"/>
        <v>3156.4268000000002</v>
      </c>
      <c r="L52" s="32">
        <f t="shared" si="37"/>
        <v>2800.7473995136002</v>
      </c>
      <c r="M52" s="32">
        <f t="shared" si="37"/>
        <v>-355.67940048640003</v>
      </c>
      <c r="N52" s="32">
        <f t="shared" si="37"/>
        <v>0</v>
      </c>
      <c r="O52" s="32">
        <f t="shared" si="37"/>
        <v>0</v>
      </c>
      <c r="P52" s="32">
        <f t="shared" si="37"/>
        <v>0</v>
      </c>
      <c r="Q52" s="32">
        <f t="shared" si="37"/>
        <v>0</v>
      </c>
      <c r="R52" s="32">
        <f t="shared" si="37"/>
        <v>0</v>
      </c>
      <c r="S52" s="32">
        <f t="shared" si="37"/>
        <v>0</v>
      </c>
      <c r="T52" s="32">
        <f t="shared" si="37"/>
        <v>0</v>
      </c>
      <c r="U52" s="32">
        <f t="shared" si="37"/>
        <v>0</v>
      </c>
      <c r="V52" s="32">
        <f t="shared" si="37"/>
        <v>0</v>
      </c>
      <c r="W52" s="32">
        <f t="shared" si="37"/>
        <v>4447.4101333333329</v>
      </c>
      <c r="X52" s="32">
        <f t="shared" si="37"/>
        <v>4025.4135615778</v>
      </c>
      <c r="Y52" s="32">
        <f t="shared" si="37"/>
        <v>-421.9965717555333</v>
      </c>
      <c r="Z52" s="33">
        <v>1290.9833333333333</v>
      </c>
      <c r="AA52" s="92">
        <f t="shared" si="8"/>
        <v>0</v>
      </c>
    </row>
    <row r="53" spans="1:28" s="75" customFormat="1" ht="15.95" customHeight="1" x14ac:dyDescent="0.25">
      <c r="A53" s="72">
        <v>41</v>
      </c>
      <c r="B53" s="40" t="s">
        <v>61</v>
      </c>
      <c r="C53" s="72"/>
      <c r="D53" s="74"/>
      <c r="E53" s="74">
        <v>0</v>
      </c>
      <c r="F53" s="74">
        <v>0</v>
      </c>
      <c r="G53" s="74">
        <f t="shared" si="10"/>
        <v>0</v>
      </c>
      <c r="H53" s="74">
        <v>0</v>
      </c>
      <c r="I53" s="74">
        <v>0</v>
      </c>
      <c r="J53" s="74">
        <f t="shared" si="11"/>
        <v>0</v>
      </c>
      <c r="K53" s="74"/>
      <c r="L53" s="74">
        <v>-3.7239680000000002</v>
      </c>
      <c r="M53" s="74">
        <f t="shared" si="12"/>
        <v>-3.7239680000000002</v>
      </c>
      <c r="N53" s="71">
        <v>0</v>
      </c>
      <c r="O53" s="71">
        <v>0</v>
      </c>
      <c r="P53" s="74">
        <f>O53-N53</f>
        <v>0</v>
      </c>
      <c r="Q53" s="71">
        <v>0</v>
      </c>
      <c r="R53" s="71">
        <v>0</v>
      </c>
      <c r="S53" s="74">
        <f>R53-Q53</f>
        <v>0</v>
      </c>
      <c r="T53" s="71">
        <v>0</v>
      </c>
      <c r="U53" s="71">
        <v>0</v>
      </c>
      <c r="V53" s="74">
        <f>U53-T53</f>
        <v>0</v>
      </c>
      <c r="W53" s="74">
        <f t="shared" ref="W53:X56" si="38">H53+K53+N53+Q53+T53</f>
        <v>0</v>
      </c>
      <c r="X53" s="74">
        <f t="shared" si="38"/>
        <v>-3.7239680000000002</v>
      </c>
      <c r="Y53" s="74">
        <f t="shared" si="14"/>
        <v>-3.7239680000000002</v>
      </c>
      <c r="Z53" s="6"/>
    </row>
    <row r="54" spans="1:28" ht="15.95" customHeight="1" x14ac:dyDescent="0.25">
      <c r="A54" s="79">
        <v>42</v>
      </c>
      <c r="B54" s="28" t="s">
        <v>110</v>
      </c>
      <c r="C54" s="79"/>
      <c r="D54" s="78"/>
      <c r="E54" s="78">
        <v>0</v>
      </c>
      <c r="F54" s="78">
        <v>12.377342039999998</v>
      </c>
      <c r="G54" s="74">
        <f t="shared" si="10"/>
        <v>12.377342039999998</v>
      </c>
      <c r="H54" s="78">
        <v>0</v>
      </c>
      <c r="I54" s="71">
        <v>0</v>
      </c>
      <c r="J54" s="74">
        <f t="shared" si="11"/>
        <v>0</v>
      </c>
      <c r="K54" s="78"/>
      <c r="L54" s="71">
        <v>89.77350534659999</v>
      </c>
      <c r="M54" s="74">
        <f t="shared" si="12"/>
        <v>89.77350534659999</v>
      </c>
      <c r="N54" s="71">
        <v>0</v>
      </c>
      <c r="O54" s="71">
        <v>0</v>
      </c>
      <c r="P54" s="74">
        <f t="shared" ref="P54:P61" si="39">O54-N54</f>
        <v>0</v>
      </c>
      <c r="Q54" s="71">
        <v>0</v>
      </c>
      <c r="R54" s="71">
        <v>0</v>
      </c>
      <c r="S54" s="74">
        <f t="shared" ref="S54:S61" si="40">R54-Q54</f>
        <v>0</v>
      </c>
      <c r="T54" s="71">
        <v>0</v>
      </c>
      <c r="U54" s="71">
        <v>0</v>
      </c>
      <c r="V54" s="74">
        <f t="shared" ref="V54:V61" si="41">U54-T54</f>
        <v>0</v>
      </c>
      <c r="W54" s="74">
        <f t="shared" si="38"/>
        <v>0</v>
      </c>
      <c r="X54" s="74">
        <f t="shared" si="38"/>
        <v>89.77350534659999</v>
      </c>
      <c r="Y54" s="74">
        <f t="shared" si="14"/>
        <v>89.77350534659999</v>
      </c>
      <c r="Z54" s="12"/>
    </row>
    <row r="55" spans="1:28" ht="15.95" customHeight="1" x14ac:dyDescent="0.25">
      <c r="A55" s="79">
        <v>43</v>
      </c>
      <c r="B55" s="28" t="s">
        <v>97</v>
      </c>
      <c r="C55" s="79"/>
      <c r="D55" s="79"/>
      <c r="E55" s="78">
        <v>38.53</v>
      </c>
      <c r="F55" s="78">
        <v>134.80979016449999</v>
      </c>
      <c r="G55" s="74">
        <f t="shared" si="10"/>
        <v>96.279790164499985</v>
      </c>
      <c r="H55" s="78">
        <v>0</v>
      </c>
      <c r="I55" s="71">
        <v>0</v>
      </c>
      <c r="J55" s="74">
        <f t="shared" si="11"/>
        <v>0</v>
      </c>
      <c r="K55" s="78">
        <f>E55*3.7</f>
        <v>142.56100000000001</v>
      </c>
      <c r="L55" s="71">
        <v>795.49514399999998</v>
      </c>
      <c r="M55" s="74">
        <f t="shared" si="12"/>
        <v>652.93414399999995</v>
      </c>
      <c r="N55" s="71">
        <v>0</v>
      </c>
      <c r="O55" s="71">
        <v>0</v>
      </c>
      <c r="P55" s="74">
        <f t="shared" si="39"/>
        <v>0</v>
      </c>
      <c r="Q55" s="71">
        <v>0</v>
      </c>
      <c r="R55" s="71">
        <v>0</v>
      </c>
      <c r="S55" s="74">
        <f t="shared" si="40"/>
        <v>0</v>
      </c>
      <c r="T55" s="71">
        <v>0</v>
      </c>
      <c r="U55" s="71">
        <v>0</v>
      </c>
      <c r="V55" s="74">
        <f t="shared" si="41"/>
        <v>0</v>
      </c>
      <c r="W55" s="74">
        <f t="shared" si="38"/>
        <v>142.56100000000001</v>
      </c>
      <c r="X55" s="74">
        <f t="shared" si="38"/>
        <v>795.49514399999998</v>
      </c>
      <c r="Y55" s="74">
        <f t="shared" si="14"/>
        <v>652.93414399999995</v>
      </c>
      <c r="Z55" s="12"/>
    </row>
    <row r="56" spans="1:28" ht="15.95" customHeight="1" x14ac:dyDescent="0.25">
      <c r="A56" s="79">
        <v>44</v>
      </c>
      <c r="B56" s="28" t="s">
        <v>21</v>
      </c>
      <c r="C56" s="79"/>
      <c r="D56" s="79"/>
      <c r="E56" s="78">
        <v>207.56</v>
      </c>
      <c r="F56" s="78">
        <v>141.06670309312562</v>
      </c>
      <c r="G56" s="74">
        <f t="shared" si="10"/>
        <v>-66.493296906874377</v>
      </c>
      <c r="H56" s="78">
        <v>0</v>
      </c>
      <c r="I56" s="71">
        <v>0</v>
      </c>
      <c r="J56" s="74">
        <f t="shared" si="11"/>
        <v>0</v>
      </c>
      <c r="K56" s="78">
        <f>E56*2.93</f>
        <v>608.1508</v>
      </c>
      <c r="L56" s="71">
        <v>643.83021723843012</v>
      </c>
      <c r="M56" s="74">
        <f t="shared" si="12"/>
        <v>35.679417238430119</v>
      </c>
      <c r="N56" s="71">
        <v>0</v>
      </c>
      <c r="O56" s="71">
        <v>0</v>
      </c>
      <c r="P56" s="74">
        <f t="shared" si="39"/>
        <v>0</v>
      </c>
      <c r="Q56" s="71">
        <v>0</v>
      </c>
      <c r="R56" s="71">
        <v>0</v>
      </c>
      <c r="S56" s="74">
        <f t="shared" si="40"/>
        <v>0</v>
      </c>
      <c r="T56" s="71">
        <v>0</v>
      </c>
      <c r="U56" s="71">
        <v>0</v>
      </c>
      <c r="V56" s="74">
        <f t="shared" si="41"/>
        <v>0</v>
      </c>
      <c r="W56" s="74">
        <f t="shared" si="38"/>
        <v>608.1508</v>
      </c>
      <c r="X56" s="74">
        <f t="shared" si="38"/>
        <v>643.83021723843012</v>
      </c>
      <c r="Y56" s="74">
        <f t="shared" si="14"/>
        <v>35.679417238430119</v>
      </c>
      <c r="Z56" s="15"/>
    </row>
    <row r="57" spans="1:28" s="43" customFormat="1" ht="15.95" customHeight="1" x14ac:dyDescent="0.25">
      <c r="A57" s="31"/>
      <c r="B57" s="30" t="s">
        <v>62</v>
      </c>
      <c r="C57" s="31"/>
      <c r="D57" s="32"/>
      <c r="E57" s="32">
        <f>SUM(E52:E56)</f>
        <v>1285.82</v>
      </c>
      <c r="F57" s="32">
        <f t="shared" ref="F57:Y57" si="42">SUM(F52:F56)</f>
        <v>1193.4499609570257</v>
      </c>
      <c r="G57" s="32">
        <f t="shared" si="42"/>
        <v>-92.370039042974412</v>
      </c>
      <c r="H57" s="32">
        <f t="shared" si="42"/>
        <v>1290.9833333333333</v>
      </c>
      <c r="I57" s="32">
        <f t="shared" si="42"/>
        <v>1224.6661620641999</v>
      </c>
      <c r="J57" s="32">
        <f t="shared" si="42"/>
        <v>-66.317171269133411</v>
      </c>
      <c r="K57" s="32">
        <f t="shared" si="42"/>
        <v>3907.1386000000002</v>
      </c>
      <c r="L57" s="32">
        <f t="shared" si="42"/>
        <v>4326.1222980986304</v>
      </c>
      <c r="M57" s="32">
        <f t="shared" si="42"/>
        <v>418.98369809863004</v>
      </c>
      <c r="N57" s="32">
        <f t="shared" si="42"/>
        <v>0</v>
      </c>
      <c r="O57" s="32">
        <f t="shared" si="42"/>
        <v>0</v>
      </c>
      <c r="P57" s="32">
        <f t="shared" si="42"/>
        <v>0</v>
      </c>
      <c r="Q57" s="32">
        <f t="shared" si="42"/>
        <v>0</v>
      </c>
      <c r="R57" s="32">
        <f t="shared" si="42"/>
        <v>0</v>
      </c>
      <c r="S57" s="32">
        <f t="shared" si="42"/>
        <v>0</v>
      </c>
      <c r="T57" s="32">
        <f t="shared" si="42"/>
        <v>0</v>
      </c>
      <c r="U57" s="32">
        <f t="shared" si="42"/>
        <v>0</v>
      </c>
      <c r="V57" s="32">
        <f t="shared" si="42"/>
        <v>0</v>
      </c>
      <c r="W57" s="32">
        <f t="shared" si="42"/>
        <v>5198.1219333333329</v>
      </c>
      <c r="X57" s="32">
        <f t="shared" si="42"/>
        <v>5550.7884601628302</v>
      </c>
      <c r="Y57" s="32">
        <f t="shared" si="42"/>
        <v>352.66652682949677</v>
      </c>
      <c r="Z57" s="42"/>
      <c r="AA57" s="37"/>
      <c r="AB57" s="37"/>
    </row>
    <row r="58" spans="1:28" s="16" customFormat="1" ht="15.95" customHeight="1" x14ac:dyDescent="0.25">
      <c r="A58" s="73">
        <v>45</v>
      </c>
      <c r="B58" s="28" t="s">
        <v>64</v>
      </c>
      <c r="C58" s="79"/>
      <c r="D58" s="79"/>
      <c r="E58" s="78"/>
      <c r="F58" s="78"/>
      <c r="G58" s="74">
        <f t="shared" si="10"/>
        <v>0</v>
      </c>
      <c r="H58" s="78">
        <v>477.37500000000006</v>
      </c>
      <c r="I58" s="71">
        <v>370.64437400000003</v>
      </c>
      <c r="J58" s="74">
        <f t="shared" si="11"/>
        <v>-106.73062600000003</v>
      </c>
      <c r="K58" s="78"/>
      <c r="L58" s="71"/>
      <c r="M58" s="74">
        <f t="shared" si="12"/>
        <v>0</v>
      </c>
      <c r="N58" s="71"/>
      <c r="O58" s="71"/>
      <c r="P58" s="74">
        <f t="shared" si="39"/>
        <v>0</v>
      </c>
      <c r="Q58" s="71"/>
      <c r="R58" s="71"/>
      <c r="S58" s="74">
        <f t="shared" si="40"/>
        <v>0</v>
      </c>
      <c r="T58" s="71"/>
      <c r="U58" s="71"/>
      <c r="V58" s="74">
        <f t="shared" si="41"/>
        <v>0</v>
      </c>
      <c r="W58" s="74">
        <f t="shared" ref="W58:X61" si="43">H58+K58+N58+Q58+T58</f>
        <v>477.37500000000006</v>
      </c>
      <c r="X58" s="74">
        <f t="shared" si="43"/>
        <v>370.64437400000003</v>
      </c>
      <c r="Y58" s="74">
        <f t="shared" si="14"/>
        <v>-106.73062600000003</v>
      </c>
      <c r="Z58" s="15"/>
      <c r="AA58" s="1"/>
      <c r="AB58" s="1"/>
    </row>
    <row r="59" spans="1:28" s="16" customFormat="1" ht="15.95" customHeight="1" x14ac:dyDescent="0.25">
      <c r="A59" s="73">
        <v>46</v>
      </c>
      <c r="B59" s="28" t="s">
        <v>65</v>
      </c>
      <c r="C59" s="79"/>
      <c r="D59" s="79"/>
      <c r="E59" s="78"/>
      <c r="F59" s="78"/>
      <c r="G59" s="74">
        <f t="shared" si="10"/>
        <v>0</v>
      </c>
      <c r="H59" s="78">
        <v>6.8333333333333321</v>
      </c>
      <c r="I59" s="71">
        <v>5.9064059999999996</v>
      </c>
      <c r="J59" s="74">
        <f t="shared" si="11"/>
        <v>-0.92692733333333255</v>
      </c>
      <c r="K59" s="78"/>
      <c r="L59" s="71"/>
      <c r="M59" s="74">
        <f t="shared" si="12"/>
        <v>0</v>
      </c>
      <c r="N59" s="71"/>
      <c r="O59" s="71"/>
      <c r="P59" s="74">
        <f t="shared" si="39"/>
        <v>0</v>
      </c>
      <c r="Q59" s="71"/>
      <c r="R59" s="71"/>
      <c r="S59" s="74">
        <f t="shared" si="40"/>
        <v>0</v>
      </c>
      <c r="T59" s="71"/>
      <c r="U59" s="71"/>
      <c r="V59" s="74">
        <f t="shared" si="41"/>
        <v>0</v>
      </c>
      <c r="W59" s="74">
        <f t="shared" si="43"/>
        <v>6.8333333333333321</v>
      </c>
      <c r="X59" s="74">
        <f t="shared" si="43"/>
        <v>5.9064059999999996</v>
      </c>
      <c r="Y59" s="74">
        <f t="shared" si="14"/>
        <v>-0.92692733333333255</v>
      </c>
      <c r="Z59" s="15"/>
      <c r="AA59" s="1"/>
      <c r="AB59" s="1"/>
    </row>
    <row r="60" spans="1:28" s="16" customFormat="1" ht="15.95" customHeight="1" x14ac:dyDescent="0.25">
      <c r="A60" s="73">
        <v>47</v>
      </c>
      <c r="B60" s="28" t="s">
        <v>66</v>
      </c>
      <c r="C60" s="79"/>
      <c r="D60" s="79"/>
      <c r="E60" s="78"/>
      <c r="F60" s="78"/>
      <c r="G60" s="74">
        <f t="shared" si="10"/>
        <v>0</v>
      </c>
      <c r="H60" s="78">
        <v>288.375</v>
      </c>
      <c r="I60" s="71">
        <v>163.9491021318</v>
      </c>
      <c r="J60" s="74">
        <f t="shared" si="11"/>
        <v>-124.4258978682</v>
      </c>
      <c r="K60" s="78"/>
      <c r="L60" s="71"/>
      <c r="M60" s="74">
        <f t="shared" si="12"/>
        <v>0</v>
      </c>
      <c r="N60" s="71"/>
      <c r="O60" s="71"/>
      <c r="P60" s="74">
        <f t="shared" si="39"/>
        <v>0</v>
      </c>
      <c r="Q60" s="71"/>
      <c r="R60" s="71"/>
      <c r="S60" s="74">
        <f t="shared" si="40"/>
        <v>0</v>
      </c>
      <c r="T60" s="71"/>
      <c r="U60" s="71"/>
      <c r="V60" s="74">
        <f t="shared" si="41"/>
        <v>0</v>
      </c>
      <c r="W60" s="74">
        <f t="shared" si="43"/>
        <v>288.375</v>
      </c>
      <c r="X60" s="74">
        <f t="shared" si="43"/>
        <v>163.9491021318</v>
      </c>
      <c r="Y60" s="74">
        <f t="shared" si="14"/>
        <v>-124.4258978682</v>
      </c>
      <c r="Z60" s="15"/>
      <c r="AA60" s="1"/>
      <c r="AB60" s="1"/>
    </row>
    <row r="61" spans="1:28" s="16" customFormat="1" ht="15.95" customHeight="1" x14ac:dyDescent="0.25">
      <c r="A61" s="73">
        <v>48</v>
      </c>
      <c r="B61" s="28" t="s">
        <v>67</v>
      </c>
      <c r="C61" s="79"/>
      <c r="D61" s="79"/>
      <c r="E61" s="78"/>
      <c r="F61" s="78"/>
      <c r="G61" s="74">
        <f t="shared" si="10"/>
        <v>0</v>
      </c>
      <c r="H61" s="78">
        <v>2.8833333333333333</v>
      </c>
      <c r="I61" s="71">
        <v>0.57228725765398025</v>
      </c>
      <c r="J61" s="74">
        <f t="shared" si="11"/>
        <v>-2.3110460756793532</v>
      </c>
      <c r="K61" s="78"/>
      <c r="L61" s="71"/>
      <c r="M61" s="74">
        <f t="shared" si="12"/>
        <v>0</v>
      </c>
      <c r="N61" s="71"/>
      <c r="O61" s="71"/>
      <c r="P61" s="74">
        <f t="shared" si="39"/>
        <v>0</v>
      </c>
      <c r="Q61" s="71"/>
      <c r="R61" s="71"/>
      <c r="S61" s="74">
        <f t="shared" si="40"/>
        <v>0</v>
      </c>
      <c r="T61" s="71"/>
      <c r="U61" s="71"/>
      <c r="V61" s="74">
        <f t="shared" si="41"/>
        <v>0</v>
      </c>
      <c r="W61" s="74">
        <f t="shared" si="43"/>
        <v>2.8833333333333333</v>
      </c>
      <c r="X61" s="74">
        <f t="shared" si="43"/>
        <v>0.57228725765398025</v>
      </c>
      <c r="Y61" s="74">
        <f t="shared" si="14"/>
        <v>-2.3110460756793532</v>
      </c>
      <c r="Z61" s="15"/>
      <c r="AA61" s="1"/>
      <c r="AB61" s="1"/>
    </row>
    <row r="62" spans="1:28" s="37" customFormat="1" ht="25.5" x14ac:dyDescent="0.25">
      <c r="A62" s="31"/>
      <c r="B62" s="30" t="s">
        <v>68</v>
      </c>
      <c r="C62" s="31"/>
      <c r="D62" s="31"/>
      <c r="E62" s="32">
        <f>SUM(E58:E61)</f>
        <v>0</v>
      </c>
      <c r="F62" s="32">
        <f t="shared" ref="F62:Y62" si="44">SUM(F58:F61)</f>
        <v>0</v>
      </c>
      <c r="G62" s="32">
        <f t="shared" si="44"/>
        <v>0</v>
      </c>
      <c r="H62" s="32">
        <f t="shared" si="44"/>
        <v>775.4666666666667</v>
      </c>
      <c r="I62" s="32">
        <f t="shared" si="44"/>
        <v>541.07216938945407</v>
      </c>
      <c r="J62" s="32">
        <f t="shared" si="44"/>
        <v>-234.39449727721271</v>
      </c>
      <c r="K62" s="32">
        <f t="shared" si="44"/>
        <v>0</v>
      </c>
      <c r="L62" s="32">
        <f t="shared" si="44"/>
        <v>0</v>
      </c>
      <c r="M62" s="32">
        <f t="shared" si="44"/>
        <v>0</v>
      </c>
      <c r="N62" s="32">
        <f t="shared" si="44"/>
        <v>0</v>
      </c>
      <c r="O62" s="32">
        <f t="shared" si="44"/>
        <v>0</v>
      </c>
      <c r="P62" s="32">
        <f t="shared" si="44"/>
        <v>0</v>
      </c>
      <c r="Q62" s="32">
        <f t="shared" si="44"/>
        <v>0</v>
      </c>
      <c r="R62" s="32">
        <f t="shared" si="44"/>
        <v>0</v>
      </c>
      <c r="S62" s="32">
        <f t="shared" si="44"/>
        <v>0</v>
      </c>
      <c r="T62" s="32">
        <f t="shared" si="44"/>
        <v>0</v>
      </c>
      <c r="U62" s="32">
        <f t="shared" si="44"/>
        <v>0</v>
      </c>
      <c r="V62" s="32">
        <f t="shared" si="44"/>
        <v>0</v>
      </c>
      <c r="W62" s="32">
        <f t="shared" si="44"/>
        <v>775.4666666666667</v>
      </c>
      <c r="X62" s="32">
        <f t="shared" si="44"/>
        <v>541.07216938945407</v>
      </c>
      <c r="Y62" s="32">
        <f t="shared" si="44"/>
        <v>-234.39449727721271</v>
      </c>
      <c r="Z62" s="34"/>
    </row>
    <row r="63" spans="1:28" s="37" customFormat="1" ht="15.95" customHeight="1" x14ac:dyDescent="0.25">
      <c r="A63" s="31"/>
      <c r="B63" s="30" t="s">
        <v>69</v>
      </c>
      <c r="C63" s="31"/>
      <c r="D63" s="31"/>
      <c r="E63" s="32">
        <f>E57+E62</f>
        <v>1285.82</v>
      </c>
      <c r="F63" s="32">
        <f t="shared" ref="F63:Y63" si="45">F57+F62</f>
        <v>1193.4499609570257</v>
      </c>
      <c r="G63" s="32">
        <f t="shared" si="45"/>
        <v>-92.370039042974412</v>
      </c>
      <c r="H63" s="32">
        <f t="shared" si="45"/>
        <v>2066.4499999999998</v>
      </c>
      <c r="I63" s="32">
        <f t="shared" si="45"/>
        <v>1765.7383314536539</v>
      </c>
      <c r="J63" s="32">
        <f t="shared" si="45"/>
        <v>-300.71166854634612</v>
      </c>
      <c r="K63" s="32">
        <f t="shared" si="45"/>
        <v>3907.1386000000002</v>
      </c>
      <c r="L63" s="32">
        <f t="shared" si="45"/>
        <v>4326.1222980986304</v>
      </c>
      <c r="M63" s="32">
        <f t="shared" si="45"/>
        <v>418.98369809863004</v>
      </c>
      <c r="N63" s="32">
        <f t="shared" si="45"/>
        <v>0</v>
      </c>
      <c r="O63" s="32">
        <f t="shared" si="45"/>
        <v>0</v>
      </c>
      <c r="P63" s="32">
        <f t="shared" si="45"/>
        <v>0</v>
      </c>
      <c r="Q63" s="32">
        <f t="shared" si="45"/>
        <v>0</v>
      </c>
      <c r="R63" s="32">
        <f t="shared" si="45"/>
        <v>0</v>
      </c>
      <c r="S63" s="32">
        <f t="shared" si="45"/>
        <v>0</v>
      </c>
      <c r="T63" s="32">
        <f t="shared" si="45"/>
        <v>0</v>
      </c>
      <c r="U63" s="32">
        <f t="shared" si="45"/>
        <v>0</v>
      </c>
      <c r="V63" s="32">
        <f t="shared" si="45"/>
        <v>0</v>
      </c>
      <c r="W63" s="32">
        <f t="shared" si="45"/>
        <v>5973.5885999999991</v>
      </c>
      <c r="X63" s="32">
        <f t="shared" si="45"/>
        <v>6091.8606295522841</v>
      </c>
      <c r="Y63" s="32">
        <f t="shared" si="45"/>
        <v>118.27202955228407</v>
      </c>
      <c r="Z63" s="34"/>
    </row>
    <row r="64" spans="1:28" ht="21.75" customHeight="1" x14ac:dyDescent="0.25">
      <c r="B64" s="101" t="s">
        <v>90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2"/>
    </row>
    <row r="65" spans="3:26" x14ac:dyDescent="0.25">
      <c r="N65" s="5"/>
      <c r="O65" s="5"/>
      <c r="P65" s="6"/>
      <c r="Q65" s="5"/>
      <c r="R65" s="5"/>
      <c r="S65" s="6"/>
      <c r="T65" s="5"/>
      <c r="U65" s="5"/>
      <c r="V65" s="6"/>
      <c r="W65" s="6"/>
      <c r="X65" s="6"/>
      <c r="Y65" s="6"/>
      <c r="Z65" s="12"/>
    </row>
    <row r="66" spans="3:26" x14ac:dyDescent="0.25">
      <c r="N66" s="5"/>
      <c r="O66" s="5"/>
      <c r="P66" s="6"/>
      <c r="Q66" s="5"/>
      <c r="R66" s="5"/>
      <c r="S66" s="6"/>
      <c r="T66" s="5"/>
      <c r="U66" s="5"/>
      <c r="V66" s="6"/>
      <c r="W66" s="6"/>
      <c r="X66" s="6"/>
      <c r="Y66" s="6"/>
      <c r="Z66" s="12"/>
    </row>
    <row r="67" spans="3:26" x14ac:dyDescent="0.25">
      <c r="N67" s="5"/>
      <c r="O67" s="5"/>
      <c r="P67" s="6"/>
      <c r="Q67" s="5"/>
      <c r="R67" s="5"/>
      <c r="S67" s="6"/>
      <c r="T67" s="5"/>
      <c r="U67" s="5"/>
      <c r="V67" s="6"/>
      <c r="W67" s="6"/>
      <c r="X67" s="6"/>
      <c r="Y67" s="6"/>
      <c r="Z67" s="12"/>
    </row>
    <row r="68" spans="3:26" x14ac:dyDescent="0.25">
      <c r="N68" s="5"/>
      <c r="O68" s="5"/>
      <c r="P68" s="6"/>
      <c r="Q68" s="5"/>
      <c r="R68" s="5"/>
      <c r="S68" s="6"/>
      <c r="T68" s="5"/>
      <c r="U68" s="5"/>
      <c r="V68" s="6"/>
      <c r="W68" s="6"/>
      <c r="X68" s="6"/>
      <c r="Y68" s="6"/>
      <c r="Z68" s="12"/>
    </row>
    <row r="69" spans="3:26" x14ac:dyDescent="0.25">
      <c r="N69" s="5"/>
      <c r="O69" s="5"/>
      <c r="P69" s="6"/>
      <c r="Q69" s="5"/>
      <c r="R69" s="5"/>
      <c r="S69" s="6"/>
      <c r="T69" s="5"/>
      <c r="U69" s="5"/>
      <c r="V69" s="6"/>
      <c r="W69" s="6"/>
      <c r="X69" s="6"/>
      <c r="Y69" s="6"/>
      <c r="Z69" s="12"/>
    </row>
    <row r="70" spans="3:26" x14ac:dyDescent="0.25">
      <c r="N70" s="5"/>
      <c r="O70" s="5"/>
      <c r="P70" s="6"/>
      <c r="Q70" s="5"/>
      <c r="R70" s="5"/>
      <c r="S70" s="6"/>
      <c r="T70" s="5"/>
      <c r="U70" s="5"/>
      <c r="V70" s="6"/>
      <c r="W70" s="6"/>
      <c r="X70" s="6"/>
      <c r="Y70" s="6"/>
      <c r="Z70" s="12"/>
    </row>
    <row r="71" spans="3:26" x14ac:dyDescent="0.25">
      <c r="N71" s="5"/>
      <c r="O71" s="5"/>
      <c r="P71" s="6"/>
      <c r="Q71" s="5"/>
      <c r="R71" s="5"/>
      <c r="S71" s="6"/>
      <c r="T71" s="5"/>
      <c r="U71" s="5"/>
      <c r="V71" s="6"/>
      <c r="W71" s="6"/>
      <c r="X71" s="6"/>
      <c r="Y71" s="6"/>
      <c r="Z71" s="12"/>
    </row>
    <row r="72" spans="3:26" x14ac:dyDescent="0.25">
      <c r="C72" s="9"/>
      <c r="D72" s="9"/>
      <c r="E72" s="10"/>
      <c r="F72" s="10"/>
      <c r="G72" s="11"/>
      <c r="H72" s="10"/>
      <c r="I72" s="8"/>
      <c r="J72" s="11"/>
      <c r="K72" s="8"/>
      <c r="L72" s="8"/>
      <c r="N72" s="5"/>
      <c r="O72" s="5"/>
      <c r="P72" s="6"/>
      <c r="Q72" s="5"/>
      <c r="R72" s="5"/>
      <c r="S72" s="6"/>
      <c r="T72" s="5"/>
      <c r="U72" s="5"/>
      <c r="V72" s="6"/>
      <c r="W72" s="6"/>
      <c r="X72" s="6"/>
      <c r="Y72" s="6"/>
      <c r="Z72" s="12"/>
    </row>
    <row r="73" spans="3:26" x14ac:dyDescent="0.25">
      <c r="N73" s="5"/>
      <c r="O73" s="5"/>
      <c r="P73" s="6"/>
      <c r="Q73" s="5"/>
      <c r="R73" s="5"/>
      <c r="S73" s="6"/>
      <c r="T73" s="5"/>
      <c r="U73" s="5"/>
      <c r="V73" s="6"/>
      <c r="W73" s="6"/>
      <c r="X73" s="6"/>
      <c r="Y73" s="6"/>
      <c r="Z73" s="12"/>
    </row>
    <row r="74" spans="3:26" x14ac:dyDescent="0.25">
      <c r="N74" s="5"/>
      <c r="O74" s="5"/>
      <c r="P74" s="6"/>
      <c r="Q74" s="5"/>
      <c r="R74" s="5"/>
      <c r="S74" s="6"/>
      <c r="T74" s="5"/>
      <c r="U74" s="5"/>
      <c r="V74" s="6"/>
      <c r="W74" s="6"/>
      <c r="X74" s="6"/>
      <c r="Y74" s="6"/>
      <c r="Z74" s="12"/>
    </row>
    <row r="75" spans="3:26" x14ac:dyDescent="0.25">
      <c r="N75" s="5"/>
      <c r="O75" s="5"/>
      <c r="P75" s="6"/>
      <c r="Q75" s="5"/>
      <c r="R75" s="5"/>
      <c r="S75" s="6"/>
      <c r="T75" s="5"/>
      <c r="U75" s="5"/>
      <c r="V75" s="6"/>
      <c r="W75" s="6"/>
      <c r="X75" s="6"/>
      <c r="Y75" s="6"/>
      <c r="Z75" s="12"/>
    </row>
    <row r="76" spans="3:26" x14ac:dyDescent="0.25">
      <c r="N76" s="5"/>
      <c r="O76" s="5"/>
      <c r="P76" s="6"/>
      <c r="Q76" s="5"/>
      <c r="R76" s="5"/>
      <c r="S76" s="6"/>
      <c r="T76" s="5"/>
      <c r="U76" s="5"/>
      <c r="V76" s="6"/>
      <c r="W76" s="6"/>
      <c r="X76" s="6"/>
      <c r="Y76" s="6"/>
      <c r="Z76" s="12"/>
    </row>
    <row r="77" spans="3:26" x14ac:dyDescent="0.25">
      <c r="N77" s="5"/>
      <c r="O77" s="5"/>
      <c r="P77" s="6"/>
      <c r="Q77" s="5"/>
      <c r="R77" s="5"/>
      <c r="S77" s="6"/>
      <c r="T77" s="5"/>
      <c r="U77" s="5"/>
      <c r="V77" s="6"/>
      <c r="W77" s="6"/>
      <c r="X77" s="6"/>
      <c r="Y77" s="6"/>
      <c r="Z77" s="12"/>
    </row>
    <row r="78" spans="3:26" x14ac:dyDescent="0.25">
      <c r="N78" s="5"/>
      <c r="O78" s="5"/>
      <c r="P78" s="6"/>
      <c r="Q78" s="5"/>
      <c r="R78" s="5"/>
      <c r="S78" s="6"/>
      <c r="T78" s="5"/>
      <c r="U78" s="5"/>
      <c r="V78" s="6"/>
      <c r="W78" s="6"/>
      <c r="X78" s="6"/>
      <c r="Y78" s="6"/>
      <c r="Z78" s="12"/>
    </row>
    <row r="79" spans="3:26" x14ac:dyDescent="0.25">
      <c r="N79" s="5"/>
      <c r="O79" s="5"/>
      <c r="P79" s="6"/>
      <c r="Q79" s="5"/>
      <c r="R79" s="5"/>
      <c r="S79" s="6"/>
      <c r="T79" s="5"/>
      <c r="U79" s="5"/>
      <c r="V79" s="6"/>
      <c r="W79" s="6"/>
      <c r="X79" s="6"/>
      <c r="Y79" s="6"/>
      <c r="Z79" s="12"/>
    </row>
    <row r="80" spans="3:26" x14ac:dyDescent="0.25">
      <c r="N80" s="5"/>
      <c r="O80" s="5"/>
      <c r="P80" s="6"/>
      <c r="Q80" s="5"/>
      <c r="R80" s="5"/>
      <c r="S80" s="6"/>
      <c r="T80" s="5"/>
      <c r="U80" s="5"/>
      <c r="V80" s="6"/>
      <c r="W80" s="6"/>
      <c r="X80" s="6"/>
      <c r="Y80" s="6"/>
      <c r="Z80" s="12"/>
    </row>
    <row r="81" spans="3:26" x14ac:dyDescent="0.25">
      <c r="N81" s="5"/>
      <c r="O81" s="5"/>
      <c r="P81" s="6"/>
      <c r="Q81" s="5"/>
      <c r="R81" s="5"/>
      <c r="S81" s="6"/>
      <c r="T81" s="5"/>
      <c r="U81" s="5"/>
      <c r="V81" s="6"/>
      <c r="W81" s="6"/>
      <c r="X81" s="6"/>
      <c r="Y81" s="6"/>
      <c r="Z81" s="12"/>
    </row>
    <row r="82" spans="3:26" x14ac:dyDescent="0.25">
      <c r="N82" s="5"/>
      <c r="O82" s="5"/>
      <c r="P82" s="6"/>
      <c r="Q82" s="5"/>
      <c r="R82" s="5"/>
      <c r="S82" s="6"/>
      <c r="T82" s="5"/>
      <c r="U82" s="5"/>
      <c r="V82" s="6"/>
      <c r="W82" s="6"/>
      <c r="X82" s="6"/>
      <c r="Y82" s="6"/>
      <c r="Z82" s="12"/>
    </row>
    <row r="83" spans="3:26" x14ac:dyDescent="0.25">
      <c r="N83" s="5"/>
      <c r="O83" s="5"/>
      <c r="P83" s="6"/>
      <c r="Q83" s="5"/>
      <c r="R83" s="5"/>
      <c r="S83" s="6"/>
      <c r="T83" s="5"/>
      <c r="U83" s="5"/>
      <c r="V83" s="6"/>
      <c r="W83" s="6"/>
      <c r="X83" s="6"/>
      <c r="Y83" s="6"/>
      <c r="Z83" s="12"/>
    </row>
    <row r="84" spans="3:26" x14ac:dyDescent="0.25">
      <c r="N84" s="5"/>
      <c r="O84" s="5"/>
      <c r="P84" s="6"/>
      <c r="Q84" s="5"/>
      <c r="R84" s="5"/>
      <c r="S84" s="6"/>
      <c r="T84" s="5"/>
      <c r="U84" s="5"/>
      <c r="V84" s="6"/>
      <c r="W84" s="6"/>
      <c r="X84" s="6"/>
      <c r="Y84" s="6"/>
      <c r="Z84" s="12"/>
    </row>
    <row r="85" spans="3:26" x14ac:dyDescent="0.25">
      <c r="N85" s="5"/>
      <c r="O85" s="5"/>
      <c r="P85" s="6"/>
      <c r="Q85" s="5"/>
      <c r="R85" s="5"/>
      <c r="S85" s="6"/>
      <c r="T85" s="5"/>
      <c r="U85" s="5"/>
      <c r="V85" s="6"/>
      <c r="W85" s="6"/>
      <c r="X85" s="6"/>
      <c r="Y85" s="6"/>
      <c r="Z85" s="12"/>
    </row>
    <row r="86" spans="3:26" x14ac:dyDescent="0.25">
      <c r="N86" s="5"/>
      <c r="O86" s="5"/>
      <c r="P86" s="6"/>
      <c r="Q86" s="5"/>
      <c r="R86" s="5"/>
      <c r="S86" s="6"/>
      <c r="T86" s="5"/>
      <c r="U86" s="5"/>
      <c r="V86" s="6"/>
      <c r="W86" s="6"/>
      <c r="X86" s="6"/>
      <c r="Y86" s="6"/>
      <c r="Z86" s="12"/>
    </row>
    <row r="87" spans="3:26" x14ac:dyDescent="0.25">
      <c r="N87" s="5"/>
      <c r="O87" s="5"/>
      <c r="P87" s="6"/>
      <c r="Q87" s="5"/>
      <c r="R87" s="5"/>
      <c r="S87" s="6"/>
      <c r="T87" s="5"/>
      <c r="U87" s="5"/>
      <c r="V87" s="6"/>
      <c r="W87" s="6"/>
      <c r="X87" s="6"/>
      <c r="Y87" s="6"/>
      <c r="Z87" s="12"/>
    </row>
    <row r="88" spans="3:26" x14ac:dyDescent="0.25">
      <c r="N88" s="5"/>
      <c r="O88" s="5"/>
      <c r="P88" s="6"/>
      <c r="Q88" s="5"/>
      <c r="R88" s="5"/>
      <c r="S88" s="6"/>
      <c r="T88" s="5"/>
      <c r="U88" s="5"/>
      <c r="V88" s="6"/>
      <c r="W88" s="6"/>
      <c r="X88" s="6"/>
      <c r="Y88" s="6"/>
      <c r="Z88" s="12"/>
    </row>
    <row r="89" spans="3:26" x14ac:dyDescent="0.25">
      <c r="N89" s="5"/>
      <c r="O89" s="5"/>
      <c r="P89" s="6"/>
      <c r="Q89" s="5"/>
      <c r="R89" s="5"/>
      <c r="S89" s="6"/>
      <c r="T89" s="5"/>
      <c r="U89" s="5"/>
      <c r="V89" s="6"/>
      <c r="W89" s="6"/>
      <c r="X89" s="6"/>
      <c r="Y89" s="6"/>
      <c r="Z89" s="12"/>
    </row>
    <row r="90" spans="3:26" x14ac:dyDescent="0.25">
      <c r="C90" s="9"/>
      <c r="D90" s="9"/>
      <c r="E90" s="10"/>
      <c r="F90" s="10"/>
      <c r="G90" s="11"/>
      <c r="H90" s="10"/>
      <c r="I90" s="8"/>
      <c r="J90" s="11"/>
      <c r="K90" s="8"/>
      <c r="L90" s="8"/>
      <c r="M90" s="11"/>
      <c r="N90" s="8"/>
      <c r="O90" s="8"/>
      <c r="P90" s="11"/>
      <c r="Q90" s="8"/>
      <c r="R90" s="8"/>
      <c r="S90" s="11"/>
      <c r="T90" s="8"/>
      <c r="U90" s="8"/>
      <c r="V90" s="11"/>
      <c r="W90" s="6"/>
      <c r="X90" s="6"/>
      <c r="Y90" s="6"/>
      <c r="Z90" s="10"/>
    </row>
    <row r="91" spans="3:26" x14ac:dyDescent="0.25">
      <c r="C91" s="9"/>
      <c r="D91" s="9"/>
      <c r="E91" s="10"/>
      <c r="F91" s="10"/>
      <c r="G91" s="11"/>
      <c r="H91" s="10"/>
      <c r="I91" s="8"/>
      <c r="J91" s="11"/>
      <c r="K91" s="8"/>
      <c r="L91" s="8"/>
      <c r="M91" s="11"/>
      <c r="N91" s="8"/>
      <c r="O91" s="8"/>
      <c r="P91" s="11"/>
      <c r="Q91" s="8"/>
      <c r="R91" s="8"/>
      <c r="S91" s="11"/>
      <c r="T91" s="8"/>
      <c r="U91" s="8"/>
      <c r="V91" s="11"/>
      <c r="W91" s="6"/>
      <c r="X91" s="6"/>
      <c r="Y91" s="6"/>
      <c r="Z91" s="10"/>
    </row>
    <row r="92" spans="3:26" x14ac:dyDescent="0.25">
      <c r="N92" s="5"/>
      <c r="O92" s="5"/>
      <c r="P92" s="6"/>
      <c r="Q92" s="5"/>
      <c r="R92" s="5"/>
      <c r="S92" s="6"/>
      <c r="T92" s="5"/>
      <c r="U92" s="5"/>
      <c r="V92" s="6"/>
      <c r="W92" s="6"/>
      <c r="X92" s="6"/>
      <c r="Y92" s="6"/>
      <c r="Z92" s="12"/>
    </row>
    <row r="93" spans="3:26" x14ac:dyDescent="0.25">
      <c r="N93" s="5"/>
      <c r="O93" s="5"/>
      <c r="P93" s="6"/>
      <c r="Q93" s="5"/>
      <c r="R93" s="5"/>
      <c r="S93" s="6"/>
      <c r="T93" s="5"/>
      <c r="U93" s="5"/>
      <c r="V93" s="6"/>
      <c r="W93" s="6"/>
      <c r="X93" s="6"/>
      <c r="Y93" s="6"/>
      <c r="Z93" s="12"/>
    </row>
    <row r="94" spans="3:26" x14ac:dyDescent="0.25">
      <c r="N94" s="5"/>
      <c r="O94" s="5"/>
      <c r="P94" s="6"/>
      <c r="Q94" s="5"/>
      <c r="R94" s="5"/>
      <c r="S94" s="6"/>
      <c r="T94" s="5"/>
      <c r="U94" s="5"/>
      <c r="V94" s="6"/>
      <c r="W94" s="6"/>
      <c r="X94" s="6"/>
      <c r="Y94" s="6"/>
      <c r="Z94" s="12"/>
    </row>
    <row r="95" spans="3:26" x14ac:dyDescent="0.25">
      <c r="N95" s="5"/>
      <c r="O95" s="5"/>
      <c r="P95" s="6"/>
      <c r="Q95" s="5"/>
      <c r="R95" s="5"/>
      <c r="S95" s="6"/>
      <c r="T95" s="5"/>
      <c r="U95" s="5"/>
      <c r="V95" s="6"/>
      <c r="W95" s="6"/>
      <c r="X95" s="6"/>
      <c r="Y95" s="6"/>
      <c r="Z95" s="12"/>
    </row>
    <row r="96" spans="3:26" x14ac:dyDescent="0.25">
      <c r="N96" s="5"/>
      <c r="O96" s="5"/>
      <c r="P96" s="6"/>
      <c r="Q96" s="5"/>
      <c r="R96" s="5"/>
      <c r="S96" s="6"/>
      <c r="T96" s="5"/>
      <c r="U96" s="5"/>
      <c r="V96" s="6"/>
      <c r="W96" s="6"/>
      <c r="X96" s="6"/>
      <c r="Y96" s="6"/>
      <c r="Z96" s="12"/>
    </row>
    <row r="97" spans="14:26" x14ac:dyDescent="0.25">
      <c r="N97" s="5"/>
      <c r="O97" s="5"/>
      <c r="P97" s="6"/>
      <c r="Q97" s="5"/>
      <c r="R97" s="5"/>
      <c r="S97" s="6"/>
      <c r="T97" s="5"/>
      <c r="U97" s="5"/>
      <c r="V97" s="6"/>
      <c r="W97" s="6"/>
      <c r="X97" s="6"/>
      <c r="Y97" s="6"/>
      <c r="Z97" s="12"/>
    </row>
    <row r="98" spans="14:26" x14ac:dyDescent="0.25">
      <c r="N98" s="5"/>
      <c r="O98" s="5"/>
      <c r="P98" s="6"/>
      <c r="Q98" s="5"/>
      <c r="R98" s="5"/>
      <c r="S98" s="6"/>
      <c r="T98" s="5"/>
      <c r="U98" s="5"/>
      <c r="V98" s="6"/>
      <c r="W98" s="6"/>
      <c r="X98" s="6"/>
      <c r="Y98" s="6"/>
      <c r="Z98" s="12"/>
    </row>
    <row r="99" spans="14:26" x14ac:dyDescent="0.25">
      <c r="N99" s="5"/>
      <c r="O99" s="5"/>
      <c r="P99" s="6"/>
      <c r="Q99" s="5"/>
      <c r="R99" s="5"/>
      <c r="S99" s="6"/>
      <c r="T99" s="5"/>
      <c r="U99" s="5"/>
      <c r="V99" s="6"/>
      <c r="W99" s="6"/>
      <c r="X99" s="6"/>
      <c r="Y99" s="6"/>
      <c r="Z99" s="12"/>
    </row>
    <row r="100" spans="14:26" x14ac:dyDescent="0.25">
      <c r="W100" s="6"/>
      <c r="X100" s="6"/>
      <c r="Y100" s="6"/>
    </row>
    <row r="101" spans="14:26" x14ac:dyDescent="0.25">
      <c r="N101" s="5"/>
      <c r="O101" s="5"/>
      <c r="P101" s="6"/>
      <c r="Q101" s="5"/>
      <c r="R101" s="5"/>
      <c r="S101" s="6"/>
      <c r="T101" s="5"/>
      <c r="U101" s="5"/>
      <c r="V101" s="6"/>
      <c r="W101" s="6"/>
      <c r="X101" s="6"/>
      <c r="Y101" s="6"/>
      <c r="Z101" s="10"/>
    </row>
    <row r="102" spans="14:26" x14ac:dyDescent="0.25">
      <c r="W102" s="6"/>
      <c r="X102" s="6"/>
      <c r="Y102" s="6"/>
      <c r="Z102" s="12"/>
    </row>
  </sheetData>
  <mergeCells count="40">
    <mergeCell ref="A1:Y1"/>
    <mergeCell ref="A2:A4"/>
    <mergeCell ref="T3:V3"/>
    <mergeCell ref="W3:Y3"/>
    <mergeCell ref="B2:B4"/>
    <mergeCell ref="C2:C4"/>
    <mergeCell ref="D2:D4"/>
    <mergeCell ref="E2:G2"/>
    <mergeCell ref="H2:Y2"/>
    <mergeCell ref="E3:E4"/>
    <mergeCell ref="F3:F4"/>
    <mergeCell ref="G3:G4"/>
    <mergeCell ref="B64:Y64"/>
    <mergeCell ref="H3:J3"/>
    <mergeCell ref="K3:M3"/>
    <mergeCell ref="N3:P3"/>
    <mergeCell ref="Q3:S3"/>
    <mergeCell ref="I35:I36"/>
    <mergeCell ref="L35:L36"/>
    <mergeCell ref="F35:F36"/>
    <mergeCell ref="C35:C36"/>
    <mergeCell ref="D35:D36"/>
    <mergeCell ref="E35:E36"/>
    <mergeCell ref="G35:G36"/>
    <mergeCell ref="H35:H36"/>
    <mergeCell ref="J35:J36"/>
    <mergeCell ref="K35:K36"/>
    <mergeCell ref="M35:M36"/>
    <mergeCell ref="N35:N36"/>
    <mergeCell ref="O35:O36"/>
    <mergeCell ref="P35:P36"/>
    <mergeCell ref="Q35:Q36"/>
    <mergeCell ref="R35:R36"/>
    <mergeCell ref="X35:X36"/>
    <mergeCell ref="Y35:Y36"/>
    <mergeCell ref="S35:S36"/>
    <mergeCell ref="T35:T36"/>
    <mergeCell ref="U35:U36"/>
    <mergeCell ref="V35:V36"/>
    <mergeCell ref="W35:W36"/>
  </mergeCells>
  <printOptions horizontalCentered="1"/>
  <pageMargins left="0.59055118110236227" right="0.39370078740157483" top="0.39370078740157483" bottom="0.39370078740157483" header="0" footer="0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B102"/>
  <sheetViews>
    <sheetView view="pageBreakPreview" zoomScaleSheetLayoutView="100" workbookViewId="0">
      <pane xSplit="10" ySplit="9" topLeftCell="P55" activePane="bottomRight" state="frozen"/>
      <selection activeCell="L8" sqref="L8"/>
      <selection pane="topRight" activeCell="L8" sqref="L8"/>
      <selection pane="bottomLeft" activeCell="L8" sqref="L8"/>
      <selection pane="bottomRight" activeCell="H40" sqref="H40"/>
    </sheetView>
  </sheetViews>
  <sheetFormatPr defaultRowHeight="12.75" x14ac:dyDescent="0.25"/>
  <cols>
    <col min="1" max="1" width="5" style="1" customWidth="1"/>
    <col min="2" max="2" width="33.85546875" style="20" customWidth="1"/>
    <col min="3" max="3" width="11" style="1" customWidth="1"/>
    <col min="4" max="4" width="9.42578125" style="1" customWidth="1"/>
    <col min="5" max="6" width="7.5703125" style="12" bestFit="1" customWidth="1"/>
    <col min="7" max="7" width="9.42578125" style="6" bestFit="1" customWidth="1"/>
    <col min="8" max="8" width="7.5703125" style="12" bestFit="1" customWidth="1"/>
    <col min="9" max="9" width="9" style="5" bestFit="1" customWidth="1"/>
    <col min="10" max="10" width="9.140625" style="6" bestFit="1" customWidth="1"/>
    <col min="11" max="12" width="7.5703125" style="5" bestFit="1" customWidth="1"/>
    <col min="13" max="13" width="9.140625" style="6" bestFit="1" customWidth="1"/>
    <col min="14" max="14" width="4.5703125" style="4" bestFit="1" customWidth="1"/>
    <col min="15" max="15" width="6.7109375" style="4" bestFit="1" customWidth="1"/>
    <col min="16" max="16" width="9.140625" style="75" bestFit="1" customWidth="1"/>
    <col min="17" max="17" width="4.5703125" style="4" bestFit="1" customWidth="1"/>
    <col min="18" max="18" width="6.7109375" style="4" bestFit="1" customWidth="1"/>
    <col min="19" max="19" width="9.140625" style="75" bestFit="1" customWidth="1"/>
    <col min="20" max="20" width="4.5703125" style="4" bestFit="1" customWidth="1"/>
    <col min="21" max="21" width="6.7109375" style="4" bestFit="1" customWidth="1"/>
    <col min="22" max="22" width="9.140625" style="75" bestFit="1" customWidth="1"/>
    <col min="23" max="23" width="8.5703125" style="75" bestFit="1" customWidth="1"/>
    <col min="24" max="24" width="7.5703125" style="75" bestFit="1" customWidth="1"/>
    <col min="25" max="25" width="9.140625" style="75" bestFit="1" customWidth="1"/>
    <col min="26" max="26" width="14.7109375" style="1" customWidth="1"/>
    <col min="27" max="27" width="9.28515625" style="1" bestFit="1" customWidth="1"/>
    <col min="28" max="28" width="10.5703125" style="1" bestFit="1" customWidth="1"/>
    <col min="29" max="16384" width="9.140625" style="1"/>
  </cols>
  <sheetData>
    <row r="1" spans="1:26" s="77" customFormat="1" ht="27" customHeight="1" x14ac:dyDescent="0.2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75"/>
    </row>
    <row r="2" spans="1:26" s="77" customFormat="1" ht="16.5" customHeight="1" x14ac:dyDescent="0.25">
      <c r="A2" s="114" t="s">
        <v>70</v>
      </c>
      <c r="B2" s="115" t="s">
        <v>89</v>
      </c>
      <c r="C2" s="114" t="s">
        <v>0</v>
      </c>
      <c r="D2" s="114" t="s">
        <v>1</v>
      </c>
      <c r="E2" s="102" t="s">
        <v>2</v>
      </c>
      <c r="F2" s="102"/>
      <c r="G2" s="102"/>
      <c r="H2" s="114" t="s">
        <v>72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5"/>
    </row>
    <row r="3" spans="1:26" s="77" customFormat="1" ht="29.25" customHeight="1" x14ac:dyDescent="0.25">
      <c r="A3" s="114"/>
      <c r="B3" s="115"/>
      <c r="C3" s="114"/>
      <c r="D3" s="114"/>
      <c r="E3" s="102" t="s">
        <v>3</v>
      </c>
      <c r="F3" s="102" t="s">
        <v>92</v>
      </c>
      <c r="G3" s="103" t="s">
        <v>29</v>
      </c>
      <c r="H3" s="102" t="s">
        <v>4</v>
      </c>
      <c r="I3" s="102"/>
      <c r="J3" s="102"/>
      <c r="K3" s="103" t="s">
        <v>5</v>
      </c>
      <c r="L3" s="103"/>
      <c r="M3" s="103"/>
      <c r="N3" s="104" t="s">
        <v>84</v>
      </c>
      <c r="O3" s="104"/>
      <c r="P3" s="104"/>
      <c r="Q3" s="104" t="s">
        <v>6</v>
      </c>
      <c r="R3" s="104"/>
      <c r="S3" s="104"/>
      <c r="T3" s="104" t="s">
        <v>7</v>
      </c>
      <c r="U3" s="104"/>
      <c r="V3" s="104"/>
      <c r="W3" s="104" t="s">
        <v>8</v>
      </c>
      <c r="X3" s="104"/>
      <c r="Y3" s="104"/>
      <c r="Z3" s="75"/>
    </row>
    <row r="4" spans="1:26" s="77" customFormat="1" ht="28.5" customHeight="1" x14ac:dyDescent="0.25">
      <c r="A4" s="114"/>
      <c r="B4" s="115"/>
      <c r="C4" s="114"/>
      <c r="D4" s="114"/>
      <c r="E4" s="102"/>
      <c r="F4" s="102"/>
      <c r="G4" s="103"/>
      <c r="H4" s="76" t="s">
        <v>22</v>
      </c>
      <c r="I4" s="74" t="s">
        <v>23</v>
      </c>
      <c r="J4" s="74" t="s">
        <v>73</v>
      </c>
      <c r="K4" s="74" t="s">
        <v>24</v>
      </c>
      <c r="L4" s="74" t="s">
        <v>74</v>
      </c>
      <c r="M4" s="74" t="s">
        <v>75</v>
      </c>
      <c r="N4" s="72" t="s">
        <v>25</v>
      </c>
      <c r="O4" s="72" t="s">
        <v>76</v>
      </c>
      <c r="P4" s="72" t="s">
        <v>77</v>
      </c>
      <c r="Q4" s="72" t="s">
        <v>26</v>
      </c>
      <c r="R4" s="72" t="s">
        <v>78</v>
      </c>
      <c r="S4" s="72" t="s">
        <v>79</v>
      </c>
      <c r="T4" s="72" t="s">
        <v>27</v>
      </c>
      <c r="U4" s="72" t="s">
        <v>80</v>
      </c>
      <c r="V4" s="72" t="s">
        <v>81</v>
      </c>
      <c r="W4" s="72" t="s">
        <v>28</v>
      </c>
      <c r="X4" s="72" t="s">
        <v>82</v>
      </c>
      <c r="Y4" s="72" t="s">
        <v>83</v>
      </c>
      <c r="Z4" s="75"/>
    </row>
    <row r="5" spans="1:26" s="24" customFormat="1" ht="15.95" hidden="1" customHeight="1" x14ac:dyDescent="0.25">
      <c r="A5" s="25"/>
      <c r="B5" s="87"/>
      <c r="C5" s="25"/>
      <c r="D5" s="26"/>
      <c r="E5" s="27"/>
      <c r="F5" s="27"/>
      <c r="G5" s="82"/>
      <c r="H5" s="27"/>
      <c r="I5" s="27"/>
      <c r="J5" s="82"/>
      <c r="K5" s="27"/>
      <c r="L5" s="27"/>
      <c r="M5" s="82"/>
      <c r="N5" s="25"/>
      <c r="O5" s="25"/>
      <c r="P5" s="83"/>
      <c r="Q5" s="25"/>
      <c r="R5" s="25"/>
      <c r="S5" s="83"/>
      <c r="T5" s="25"/>
      <c r="U5" s="25"/>
      <c r="V5" s="83"/>
      <c r="W5" s="83"/>
      <c r="X5" s="83"/>
      <c r="Y5" s="83"/>
    </row>
    <row r="6" spans="1:26" ht="15.6" customHeight="1" x14ac:dyDescent="0.25">
      <c r="A6" s="79">
        <v>1</v>
      </c>
      <c r="B6" s="28" t="s">
        <v>30</v>
      </c>
      <c r="C6" s="89">
        <v>420</v>
      </c>
      <c r="D6" s="61">
        <f>'CPDCL Q4 trueup'!D6</f>
        <v>0.2334</v>
      </c>
      <c r="E6" s="78">
        <f>27.76+27.76</f>
        <v>55.52</v>
      </c>
      <c r="F6" s="78">
        <v>56.224348399999997</v>
      </c>
      <c r="G6" s="74">
        <f>F6-E6</f>
        <v>0.70434839999999355</v>
      </c>
      <c r="H6" s="78">
        <v>45.14</v>
      </c>
      <c r="I6" s="71">
        <v>39.926514309733307</v>
      </c>
      <c r="J6" s="74">
        <f>I6-H6</f>
        <v>-5.213485690266694</v>
      </c>
      <c r="K6" s="78">
        <f>E6*3.34</f>
        <v>185.43680000000001</v>
      </c>
      <c r="L6" s="71">
        <v>187.14421725920002</v>
      </c>
      <c r="M6" s="74">
        <f>L6-K6</f>
        <v>1.7074172592000139</v>
      </c>
      <c r="N6" s="78">
        <v>0</v>
      </c>
      <c r="O6" s="78">
        <v>0</v>
      </c>
      <c r="P6" s="74">
        <f>O6-N6</f>
        <v>0</v>
      </c>
      <c r="Q6" s="78">
        <v>0</v>
      </c>
      <c r="R6" s="78">
        <v>0</v>
      </c>
      <c r="S6" s="74">
        <f>R6-Q6</f>
        <v>0</v>
      </c>
      <c r="T6" s="78">
        <v>0</v>
      </c>
      <c r="U6" s="78">
        <v>0</v>
      </c>
      <c r="V6" s="74">
        <f>U6-T6</f>
        <v>0</v>
      </c>
      <c r="W6" s="74">
        <f>H6+K6+N6+Q6+T6</f>
        <v>230.57679999999999</v>
      </c>
      <c r="X6" s="74">
        <f>I6+L6+O6+R6+U6</f>
        <v>227.07073156893333</v>
      </c>
      <c r="Y6" s="74">
        <f>X6-W6</f>
        <v>-3.5060684310666659</v>
      </c>
      <c r="Z6" s="12"/>
    </row>
    <row r="7" spans="1:26" ht="15.6" customHeight="1" x14ac:dyDescent="0.25">
      <c r="A7" s="79">
        <v>2</v>
      </c>
      <c r="B7" s="28" t="s">
        <v>31</v>
      </c>
      <c r="C7" s="89">
        <v>420</v>
      </c>
      <c r="D7" s="61">
        <f>'CPDCL Q4 trueup'!D7</f>
        <v>0.2334</v>
      </c>
      <c r="E7" s="78">
        <f>27.76+27.76</f>
        <v>55.52</v>
      </c>
      <c r="F7" s="78">
        <v>56.224348399999997</v>
      </c>
      <c r="G7" s="74">
        <f t="shared" ref="G7:G13" si="0">F7-E7</f>
        <v>0.70434839999999355</v>
      </c>
      <c r="H7" s="78">
        <v>45.14</v>
      </c>
      <c r="I7" s="71">
        <v>39.926514309733307</v>
      </c>
      <c r="J7" s="74">
        <f t="shared" ref="J7:J13" si="1">I7-H7</f>
        <v>-5.213485690266694</v>
      </c>
      <c r="K7" s="78">
        <f>E7*3.34</f>
        <v>185.43680000000001</v>
      </c>
      <c r="L7" s="71">
        <v>187.14421725920002</v>
      </c>
      <c r="M7" s="74">
        <f t="shared" ref="M7:M13" si="2">L7-K7</f>
        <v>1.7074172592000139</v>
      </c>
      <c r="N7" s="78">
        <v>0</v>
      </c>
      <c r="O7" s="78">
        <v>0</v>
      </c>
      <c r="P7" s="74">
        <f t="shared" ref="P7:P20" si="3">O7-N7</f>
        <v>0</v>
      </c>
      <c r="Q7" s="78">
        <v>0</v>
      </c>
      <c r="R7" s="78">
        <v>0</v>
      </c>
      <c r="S7" s="74">
        <f t="shared" ref="S7:S20" si="4">R7-Q7</f>
        <v>0</v>
      </c>
      <c r="T7" s="78">
        <v>0</v>
      </c>
      <c r="U7" s="78">
        <v>0</v>
      </c>
      <c r="V7" s="74">
        <f t="shared" ref="V7:V20" si="5">U7-T7</f>
        <v>0</v>
      </c>
      <c r="W7" s="74">
        <f t="shared" ref="W7:X13" si="6">H7+K7+N7+Q7+T7</f>
        <v>230.57679999999999</v>
      </c>
      <c r="X7" s="74">
        <f t="shared" si="6"/>
        <v>227.07073156893333</v>
      </c>
      <c r="Y7" s="74">
        <f t="shared" ref="Y7:Y13" si="7">X7-W7</f>
        <v>-3.5060684310666659</v>
      </c>
      <c r="Z7" s="12"/>
    </row>
    <row r="8" spans="1:26" ht="15.6" customHeight="1" x14ac:dyDescent="0.25">
      <c r="A8" s="79">
        <v>3</v>
      </c>
      <c r="B8" s="28" t="s">
        <v>32</v>
      </c>
      <c r="C8" s="89">
        <v>420</v>
      </c>
      <c r="D8" s="61">
        <f>'CPDCL Q4 trueup'!D8</f>
        <v>0.2334</v>
      </c>
      <c r="E8" s="78">
        <f>27.76+27.76</f>
        <v>55.52</v>
      </c>
      <c r="F8" s="78">
        <v>56.224348399999997</v>
      </c>
      <c r="G8" s="74">
        <f t="shared" si="0"/>
        <v>0.70434839999999355</v>
      </c>
      <c r="H8" s="78">
        <v>45.14</v>
      </c>
      <c r="I8" s="71">
        <v>39.926514309733307</v>
      </c>
      <c r="J8" s="74">
        <f t="shared" si="1"/>
        <v>-5.213485690266694</v>
      </c>
      <c r="K8" s="78">
        <f>E8*3.34</f>
        <v>185.43680000000001</v>
      </c>
      <c r="L8" s="71">
        <v>187.14421725920002</v>
      </c>
      <c r="M8" s="74">
        <f t="shared" si="2"/>
        <v>1.7074172592000139</v>
      </c>
      <c r="N8" s="78">
        <v>0</v>
      </c>
      <c r="O8" s="78">
        <v>0</v>
      </c>
      <c r="P8" s="74">
        <f t="shared" si="3"/>
        <v>0</v>
      </c>
      <c r="Q8" s="78">
        <v>0</v>
      </c>
      <c r="R8" s="78">
        <v>0</v>
      </c>
      <c r="S8" s="74">
        <f t="shared" si="4"/>
        <v>0</v>
      </c>
      <c r="T8" s="78">
        <v>0</v>
      </c>
      <c r="U8" s="78">
        <v>0</v>
      </c>
      <c r="V8" s="74">
        <f t="shared" si="5"/>
        <v>0</v>
      </c>
      <c r="W8" s="74">
        <f t="shared" si="6"/>
        <v>230.57679999999999</v>
      </c>
      <c r="X8" s="74">
        <f t="shared" si="6"/>
        <v>227.07073156893333</v>
      </c>
      <c r="Y8" s="74">
        <f t="shared" si="7"/>
        <v>-3.5060684310666659</v>
      </c>
      <c r="Z8" s="12"/>
    </row>
    <row r="9" spans="1:26" ht="15.6" customHeight="1" x14ac:dyDescent="0.25">
      <c r="A9" s="79">
        <v>4</v>
      </c>
      <c r="B9" s="28" t="s">
        <v>9</v>
      </c>
      <c r="C9" s="89">
        <v>500</v>
      </c>
      <c r="D9" s="61">
        <f>'CPDCL Q4 trueup'!D9</f>
        <v>0.2334</v>
      </c>
      <c r="E9" s="78">
        <v>67</v>
      </c>
      <c r="F9" s="78">
        <v>79.778220599999997</v>
      </c>
      <c r="G9" s="74">
        <f t="shared" si="0"/>
        <v>12.778220599999997</v>
      </c>
      <c r="H9" s="78">
        <v>55.375000000000007</v>
      </c>
      <c r="I9" s="71">
        <v>35.688639674999997</v>
      </c>
      <c r="J9" s="74">
        <f t="shared" si="1"/>
        <v>-19.68636032500001</v>
      </c>
      <c r="K9" s="78">
        <f>E9*3.15</f>
        <v>211.04999999999998</v>
      </c>
      <c r="L9" s="71">
        <v>250.95141789179999</v>
      </c>
      <c r="M9" s="74">
        <f t="shared" si="2"/>
        <v>39.901417891800008</v>
      </c>
      <c r="N9" s="78">
        <v>0</v>
      </c>
      <c r="O9" s="78">
        <v>0</v>
      </c>
      <c r="P9" s="74">
        <f t="shared" si="3"/>
        <v>0</v>
      </c>
      <c r="Q9" s="78">
        <v>0</v>
      </c>
      <c r="R9" s="78">
        <v>0</v>
      </c>
      <c r="S9" s="74">
        <f t="shared" si="4"/>
        <v>0</v>
      </c>
      <c r="T9" s="78">
        <v>0</v>
      </c>
      <c r="U9" s="78">
        <v>0</v>
      </c>
      <c r="V9" s="74">
        <f t="shared" si="5"/>
        <v>0</v>
      </c>
      <c r="W9" s="74">
        <f>H9+K9+N9+Q9+T9</f>
        <v>266.42500000000001</v>
      </c>
      <c r="X9" s="74">
        <f t="shared" si="6"/>
        <v>286.64005756680001</v>
      </c>
      <c r="Y9" s="74">
        <f t="shared" si="7"/>
        <v>20.215057566799999</v>
      </c>
      <c r="Z9" s="12"/>
    </row>
    <row r="10" spans="1:26" ht="15.6" customHeight="1" x14ac:dyDescent="0.25">
      <c r="A10" s="79">
        <v>5</v>
      </c>
      <c r="B10" s="28" t="s">
        <v>10</v>
      </c>
      <c r="C10" s="89">
        <v>420</v>
      </c>
      <c r="D10" s="61">
        <f>'CPDCL Q4 trueup'!D10</f>
        <v>0.2334</v>
      </c>
      <c r="E10" s="78">
        <f>27.76+27.76</f>
        <v>55.52</v>
      </c>
      <c r="F10" s="78">
        <v>50.147903880000001</v>
      </c>
      <c r="G10" s="74">
        <f t="shared" si="0"/>
        <v>-5.3720961200000019</v>
      </c>
      <c r="H10" s="78">
        <v>51.383333333333326</v>
      </c>
      <c r="I10" s="71">
        <v>-118.02230630499992</v>
      </c>
      <c r="J10" s="74">
        <f t="shared" si="1"/>
        <v>-169.40563963833324</v>
      </c>
      <c r="K10" s="78">
        <f>E10*3.86</f>
        <v>214.30719999999999</v>
      </c>
      <c r="L10" s="71">
        <v>193.43073710580001</v>
      </c>
      <c r="M10" s="74">
        <f t="shared" si="2"/>
        <v>-20.876462894199989</v>
      </c>
      <c r="N10" s="78">
        <v>0</v>
      </c>
      <c r="O10" s="78">
        <v>0</v>
      </c>
      <c r="P10" s="74">
        <f t="shared" si="3"/>
        <v>0</v>
      </c>
      <c r="Q10" s="78">
        <v>0</v>
      </c>
      <c r="R10" s="78">
        <v>0</v>
      </c>
      <c r="S10" s="74">
        <f t="shared" si="4"/>
        <v>0</v>
      </c>
      <c r="T10" s="78">
        <v>0</v>
      </c>
      <c r="U10" s="78">
        <v>0</v>
      </c>
      <c r="V10" s="74">
        <f t="shared" si="5"/>
        <v>0</v>
      </c>
      <c r="W10" s="74">
        <f>H10+K10+N10+Q10+T10</f>
        <v>265.69053333333329</v>
      </c>
      <c r="X10" s="74">
        <f t="shared" si="6"/>
        <v>75.40843080080009</v>
      </c>
      <c r="Y10" s="74">
        <f t="shared" si="7"/>
        <v>-190.2821025325332</v>
      </c>
      <c r="Z10" s="12"/>
    </row>
    <row r="11" spans="1:26" ht="15.6" customHeight="1" x14ac:dyDescent="0.25">
      <c r="A11" s="79">
        <v>6</v>
      </c>
      <c r="B11" s="28" t="s">
        <v>11</v>
      </c>
      <c r="C11" s="89">
        <v>420</v>
      </c>
      <c r="D11" s="61">
        <f>'CPDCL Q4 trueup'!D11</f>
        <v>0.2334</v>
      </c>
      <c r="E11" s="78">
        <f>27.76+27.76</f>
        <v>55.52</v>
      </c>
      <c r="F11" s="78">
        <v>30.746062079999998</v>
      </c>
      <c r="G11" s="74">
        <f t="shared" si="0"/>
        <v>-24.773937920000005</v>
      </c>
      <c r="H11" s="78">
        <v>50.216666666666669</v>
      </c>
      <c r="I11" s="71">
        <v>-29.253091749999918</v>
      </c>
      <c r="J11" s="74">
        <f t="shared" si="1"/>
        <v>-79.469758416666593</v>
      </c>
      <c r="K11" s="78">
        <f>E11*3.86</f>
        <v>214.30719999999999</v>
      </c>
      <c r="L11" s="71">
        <v>118.59385918140001</v>
      </c>
      <c r="M11" s="74">
        <f t="shared" si="2"/>
        <v>-95.713340818599988</v>
      </c>
      <c r="N11" s="78">
        <v>0</v>
      </c>
      <c r="O11" s="78">
        <v>0</v>
      </c>
      <c r="P11" s="74">
        <f t="shared" si="3"/>
        <v>0</v>
      </c>
      <c r="Q11" s="78">
        <v>0</v>
      </c>
      <c r="R11" s="78">
        <v>0</v>
      </c>
      <c r="S11" s="74">
        <f t="shared" si="4"/>
        <v>0</v>
      </c>
      <c r="T11" s="78">
        <v>0</v>
      </c>
      <c r="U11" s="78">
        <v>0</v>
      </c>
      <c r="V11" s="74">
        <f t="shared" si="5"/>
        <v>0</v>
      </c>
      <c r="W11" s="74">
        <f>H11+K11+N11+Q11+T11</f>
        <v>264.52386666666666</v>
      </c>
      <c r="X11" s="74">
        <f t="shared" si="6"/>
        <v>89.340767431400081</v>
      </c>
      <c r="Y11" s="74">
        <f t="shared" si="7"/>
        <v>-175.18309923526658</v>
      </c>
      <c r="Z11" s="12"/>
    </row>
    <row r="12" spans="1:26" ht="15.6" customHeight="1" x14ac:dyDescent="0.25">
      <c r="A12" s="79">
        <v>7</v>
      </c>
      <c r="B12" s="28" t="s">
        <v>12</v>
      </c>
      <c r="C12" s="89">
        <v>210</v>
      </c>
      <c r="D12" s="61">
        <f>'CPDCL Q4 trueup'!D12</f>
        <v>0.2334</v>
      </c>
      <c r="E12" s="78">
        <v>27.76</v>
      </c>
      <c r="F12" s="78">
        <v>27.27974532</v>
      </c>
      <c r="G12" s="74">
        <f t="shared" si="0"/>
        <v>-0.4802546800000016</v>
      </c>
      <c r="H12" s="78">
        <v>32.908333333333331</v>
      </c>
      <c r="I12" s="71">
        <v>-10.924629320000081</v>
      </c>
      <c r="J12" s="74">
        <f t="shared" si="1"/>
        <v>-43.832962653333411</v>
      </c>
      <c r="K12" s="78">
        <f>E12*3.86</f>
        <v>107.1536</v>
      </c>
      <c r="L12" s="71">
        <v>105.22356538859999</v>
      </c>
      <c r="M12" s="74">
        <f t="shared" si="2"/>
        <v>-1.9300346114000035</v>
      </c>
      <c r="N12" s="78">
        <v>0</v>
      </c>
      <c r="O12" s="78">
        <v>0</v>
      </c>
      <c r="P12" s="74">
        <f t="shared" si="3"/>
        <v>0</v>
      </c>
      <c r="Q12" s="78">
        <v>0</v>
      </c>
      <c r="R12" s="78">
        <v>0</v>
      </c>
      <c r="S12" s="74">
        <f t="shared" si="4"/>
        <v>0</v>
      </c>
      <c r="T12" s="78">
        <v>0</v>
      </c>
      <c r="U12" s="78">
        <v>0</v>
      </c>
      <c r="V12" s="74">
        <f t="shared" si="5"/>
        <v>0</v>
      </c>
      <c r="W12" s="74">
        <f>H12+K12+N12+Q12+T12</f>
        <v>140.06193333333334</v>
      </c>
      <c r="X12" s="74">
        <f t="shared" si="6"/>
        <v>94.298936068599915</v>
      </c>
      <c r="Y12" s="74">
        <f t="shared" si="7"/>
        <v>-45.762997264733428</v>
      </c>
      <c r="Z12" s="12"/>
    </row>
    <row r="13" spans="1:26" ht="15.6" customHeight="1" x14ac:dyDescent="0.25">
      <c r="A13" s="79">
        <v>8</v>
      </c>
      <c r="B13" s="28" t="s">
        <v>13</v>
      </c>
      <c r="C13" s="89">
        <v>600</v>
      </c>
      <c r="D13" s="61">
        <f>'CPDCL Q4 trueup'!D13</f>
        <v>0.2334</v>
      </c>
      <c r="E13" s="78">
        <v>89.26</v>
      </c>
      <c r="F13" s="71">
        <v>68.223753599999995</v>
      </c>
      <c r="G13" s="74">
        <f t="shared" si="0"/>
        <v>-21.03624640000001</v>
      </c>
      <c r="H13" s="71">
        <v>149.375</v>
      </c>
      <c r="I13" s="71">
        <v>-215.45010762419997</v>
      </c>
      <c r="J13" s="74">
        <f t="shared" si="1"/>
        <v>-364.82510762419997</v>
      </c>
      <c r="K13" s="71">
        <f>E13*3.66</f>
        <v>326.69160000000005</v>
      </c>
      <c r="L13" s="71">
        <v>249.66241737779998</v>
      </c>
      <c r="M13" s="74">
        <f t="shared" si="2"/>
        <v>-77.029182622200068</v>
      </c>
      <c r="N13" s="78">
        <v>0</v>
      </c>
      <c r="O13" s="78">
        <v>0</v>
      </c>
      <c r="P13" s="74">
        <f t="shared" si="3"/>
        <v>0</v>
      </c>
      <c r="Q13" s="78">
        <v>0</v>
      </c>
      <c r="R13" s="78">
        <v>0</v>
      </c>
      <c r="S13" s="74">
        <f t="shared" si="4"/>
        <v>0</v>
      </c>
      <c r="T13" s="78">
        <v>0</v>
      </c>
      <c r="U13" s="78">
        <v>0</v>
      </c>
      <c r="V13" s="74">
        <f t="shared" si="5"/>
        <v>0</v>
      </c>
      <c r="W13" s="74">
        <f>H13+K13+N13+Q13+T13</f>
        <v>476.06660000000005</v>
      </c>
      <c r="X13" s="74">
        <f t="shared" si="6"/>
        <v>34.21230975360001</v>
      </c>
      <c r="Y13" s="74">
        <f t="shared" si="7"/>
        <v>-441.85429024640007</v>
      </c>
      <c r="Z13" s="12"/>
    </row>
    <row r="14" spans="1:26" s="37" customFormat="1" ht="15.6" customHeight="1" x14ac:dyDescent="0.25">
      <c r="A14" s="31"/>
      <c r="B14" s="30" t="s">
        <v>33</v>
      </c>
      <c r="C14" s="90">
        <f>SUM(C6:C13)</f>
        <v>3410</v>
      </c>
      <c r="D14" s="32"/>
      <c r="E14" s="32">
        <f t="shared" ref="E14:Y14" si="8">SUM(E6:E13)</f>
        <v>461.61999999999995</v>
      </c>
      <c r="F14" s="32">
        <f t="shared" si="8"/>
        <v>424.84873068000002</v>
      </c>
      <c r="G14" s="32">
        <f t="shared" si="8"/>
        <v>-36.771269320000044</v>
      </c>
      <c r="H14" s="32">
        <f t="shared" si="8"/>
        <v>474.67833333333328</v>
      </c>
      <c r="I14" s="32">
        <f t="shared" si="8"/>
        <v>-218.18195239499997</v>
      </c>
      <c r="J14" s="32">
        <f t="shared" si="8"/>
        <v>-692.86028572833334</v>
      </c>
      <c r="K14" s="32">
        <f t="shared" si="8"/>
        <v>1629.8200000000002</v>
      </c>
      <c r="L14" s="32">
        <f t="shared" si="8"/>
        <v>1479.2946487230001</v>
      </c>
      <c r="M14" s="32">
        <f t="shared" si="8"/>
        <v>-150.525351277</v>
      </c>
      <c r="N14" s="32">
        <f t="shared" si="8"/>
        <v>0</v>
      </c>
      <c r="O14" s="32">
        <f t="shared" si="8"/>
        <v>0</v>
      </c>
      <c r="P14" s="32">
        <f t="shared" si="8"/>
        <v>0</v>
      </c>
      <c r="Q14" s="32">
        <f t="shared" si="8"/>
        <v>0</v>
      </c>
      <c r="R14" s="32">
        <f t="shared" si="8"/>
        <v>0</v>
      </c>
      <c r="S14" s="32">
        <f t="shared" si="8"/>
        <v>0</v>
      </c>
      <c r="T14" s="32">
        <f t="shared" si="8"/>
        <v>0</v>
      </c>
      <c r="U14" s="32">
        <f t="shared" si="8"/>
        <v>0</v>
      </c>
      <c r="V14" s="32">
        <f t="shared" si="8"/>
        <v>0</v>
      </c>
      <c r="W14" s="32">
        <f t="shared" si="8"/>
        <v>2104.498333333333</v>
      </c>
      <c r="X14" s="32">
        <f t="shared" si="8"/>
        <v>1261.1126963280001</v>
      </c>
      <c r="Y14" s="32">
        <f t="shared" si="8"/>
        <v>-843.38563700533336</v>
      </c>
      <c r="Z14" s="33"/>
    </row>
    <row r="15" spans="1:26" ht="15.6" customHeight="1" x14ac:dyDescent="0.25">
      <c r="A15" s="79">
        <v>9</v>
      </c>
      <c r="B15" s="28" t="s">
        <v>14</v>
      </c>
      <c r="C15" s="89">
        <v>770</v>
      </c>
      <c r="D15" s="61">
        <f>'CPDCL Q4 trueup'!D15</f>
        <v>0.2334</v>
      </c>
      <c r="E15" s="78">
        <v>16.47</v>
      </c>
      <c r="F15" s="78">
        <v>0.31386465000000002</v>
      </c>
      <c r="G15" s="74">
        <f t="shared" ref="G15:G61" si="9">F15-E15</f>
        <v>-16.15613535</v>
      </c>
      <c r="H15" s="78">
        <v>43.44166666666667</v>
      </c>
      <c r="I15" s="71">
        <v>43.443519999999999</v>
      </c>
      <c r="J15" s="74">
        <f t="shared" ref="J15:J61" si="10">I15-H15</f>
        <v>1.8533333333294877E-3</v>
      </c>
      <c r="K15" s="78">
        <v>0</v>
      </c>
      <c r="L15" s="78">
        <v>0</v>
      </c>
      <c r="M15" s="74">
        <f t="shared" ref="M15:M61" si="11">L15-K15</f>
        <v>0</v>
      </c>
      <c r="N15" s="78">
        <v>0</v>
      </c>
      <c r="O15" s="78">
        <v>0</v>
      </c>
      <c r="P15" s="74">
        <f t="shared" si="3"/>
        <v>0</v>
      </c>
      <c r="Q15" s="78">
        <v>0</v>
      </c>
      <c r="R15" s="78">
        <v>0</v>
      </c>
      <c r="S15" s="74">
        <f t="shared" si="4"/>
        <v>0</v>
      </c>
      <c r="T15" s="78">
        <v>0</v>
      </c>
      <c r="U15" s="78">
        <v>0</v>
      </c>
      <c r="V15" s="74">
        <f t="shared" si="5"/>
        <v>0</v>
      </c>
      <c r="W15" s="74">
        <f t="shared" ref="W15:X20" si="12">H15+K15+N15+Q15+T15</f>
        <v>43.44166666666667</v>
      </c>
      <c r="X15" s="74">
        <f t="shared" si="12"/>
        <v>43.443519999999999</v>
      </c>
      <c r="Y15" s="74">
        <f t="shared" ref="Y15:Y61" si="13">X15-W15</f>
        <v>1.8533333333294877E-3</v>
      </c>
      <c r="Z15" s="12"/>
    </row>
    <row r="16" spans="1:26" ht="15.6" customHeight="1" x14ac:dyDescent="0.25">
      <c r="A16" s="79">
        <v>10</v>
      </c>
      <c r="B16" s="28" t="s">
        <v>15</v>
      </c>
      <c r="C16" s="89">
        <v>90</v>
      </c>
      <c r="D16" s="61">
        <f>'CPDCL Q4 trueup'!D16</f>
        <v>0.2334</v>
      </c>
      <c r="E16" s="78">
        <v>0.76</v>
      </c>
      <c r="F16" s="78">
        <v>5.9839306727999997</v>
      </c>
      <c r="G16" s="74">
        <f t="shared" si="9"/>
        <v>5.2239306727999999</v>
      </c>
      <c r="H16" s="78">
        <v>4.9833333333333334</v>
      </c>
      <c r="I16" s="71">
        <v>4.9830900000000007</v>
      </c>
      <c r="J16" s="74">
        <f t="shared" si="10"/>
        <v>-2.4333333333270701E-4</v>
      </c>
      <c r="K16" s="78">
        <v>0</v>
      </c>
      <c r="L16" s="78">
        <v>0</v>
      </c>
      <c r="M16" s="74">
        <f t="shared" si="11"/>
        <v>0</v>
      </c>
      <c r="N16" s="78">
        <v>0</v>
      </c>
      <c r="O16" s="78">
        <v>0</v>
      </c>
      <c r="P16" s="74">
        <f t="shared" si="3"/>
        <v>0</v>
      </c>
      <c r="Q16" s="78">
        <v>0</v>
      </c>
      <c r="R16" s="78">
        <v>0</v>
      </c>
      <c r="S16" s="74">
        <f t="shared" si="4"/>
        <v>0</v>
      </c>
      <c r="T16" s="78">
        <v>0</v>
      </c>
      <c r="U16" s="78">
        <v>0</v>
      </c>
      <c r="V16" s="74">
        <f t="shared" si="5"/>
        <v>0</v>
      </c>
      <c r="W16" s="74">
        <f t="shared" si="12"/>
        <v>4.9833333333333334</v>
      </c>
      <c r="X16" s="74">
        <f t="shared" si="12"/>
        <v>4.9830900000000007</v>
      </c>
      <c r="Y16" s="74">
        <f t="shared" si="13"/>
        <v>-2.4333333333270701E-4</v>
      </c>
      <c r="Z16" s="12"/>
    </row>
    <row r="17" spans="1:26" ht="15.6" customHeight="1" x14ac:dyDescent="0.25">
      <c r="A17" s="79">
        <v>11</v>
      </c>
      <c r="B17" s="28" t="s">
        <v>16</v>
      </c>
      <c r="C17" s="89">
        <v>50</v>
      </c>
      <c r="D17" s="61">
        <f>'CPDCL Q4 trueup'!D17</f>
        <v>0.2334</v>
      </c>
      <c r="E17" s="78">
        <v>0.92</v>
      </c>
      <c r="F17" s="71">
        <v>1.5096778799999999</v>
      </c>
      <c r="G17" s="74">
        <f t="shared" si="9"/>
        <v>0.58967787999999988</v>
      </c>
      <c r="H17" s="71">
        <v>9.875</v>
      </c>
      <c r="I17" s="71">
        <v>9.8728199999999973</v>
      </c>
      <c r="J17" s="74">
        <f t="shared" si="10"/>
        <v>-2.1800000000027353E-3</v>
      </c>
      <c r="K17" s="71">
        <v>0</v>
      </c>
      <c r="L17" s="71">
        <v>0</v>
      </c>
      <c r="M17" s="74">
        <f t="shared" si="11"/>
        <v>0</v>
      </c>
      <c r="N17" s="78">
        <v>0</v>
      </c>
      <c r="O17" s="78">
        <v>0</v>
      </c>
      <c r="P17" s="74">
        <f t="shared" si="3"/>
        <v>0</v>
      </c>
      <c r="Q17" s="78">
        <v>0</v>
      </c>
      <c r="R17" s="78">
        <v>0</v>
      </c>
      <c r="S17" s="74">
        <f t="shared" si="4"/>
        <v>0</v>
      </c>
      <c r="T17" s="78">
        <v>0</v>
      </c>
      <c r="U17" s="78">
        <v>0</v>
      </c>
      <c r="V17" s="74">
        <f t="shared" si="5"/>
        <v>0</v>
      </c>
      <c r="W17" s="74">
        <f t="shared" si="12"/>
        <v>9.875</v>
      </c>
      <c r="X17" s="74">
        <f t="shared" si="12"/>
        <v>9.8728199999999973</v>
      </c>
      <c r="Y17" s="74">
        <f t="shared" si="13"/>
        <v>-2.1800000000027353E-3</v>
      </c>
      <c r="Z17" s="12"/>
    </row>
    <row r="18" spans="1:26" ht="15.6" customHeight="1" x14ac:dyDescent="0.25">
      <c r="A18" s="79">
        <v>12</v>
      </c>
      <c r="B18" s="28" t="s">
        <v>34</v>
      </c>
      <c r="C18" s="89">
        <v>725</v>
      </c>
      <c r="D18" s="61">
        <f>'CPDCL Q4 trueup'!D18</f>
        <v>0.2334</v>
      </c>
      <c r="E18" s="78">
        <f>15.19+27.94+2.54</f>
        <v>45.67</v>
      </c>
      <c r="F18" s="71">
        <v>39.322870696800003</v>
      </c>
      <c r="G18" s="74">
        <f t="shared" si="9"/>
        <v>-6.3471293031999991</v>
      </c>
      <c r="H18" s="71">
        <v>46.224999999999994</v>
      </c>
      <c r="I18" s="71">
        <v>46.222924999999989</v>
      </c>
      <c r="J18" s="74">
        <f t="shared" si="10"/>
        <v>-2.075000000004934E-3</v>
      </c>
      <c r="K18" s="71">
        <v>0</v>
      </c>
      <c r="L18" s="71">
        <v>0</v>
      </c>
      <c r="M18" s="74">
        <f t="shared" si="11"/>
        <v>0</v>
      </c>
      <c r="N18" s="78">
        <v>0</v>
      </c>
      <c r="O18" s="78">
        <v>0</v>
      </c>
      <c r="P18" s="74">
        <f t="shared" si="3"/>
        <v>0</v>
      </c>
      <c r="Q18" s="78">
        <v>0</v>
      </c>
      <c r="R18" s="78">
        <v>0</v>
      </c>
      <c r="S18" s="74">
        <f t="shared" si="4"/>
        <v>0</v>
      </c>
      <c r="T18" s="78">
        <v>0</v>
      </c>
      <c r="U18" s="78">
        <v>0</v>
      </c>
      <c r="V18" s="74">
        <f t="shared" si="5"/>
        <v>0</v>
      </c>
      <c r="W18" s="74">
        <f t="shared" si="12"/>
        <v>46.224999999999994</v>
      </c>
      <c r="X18" s="74">
        <f t="shared" si="12"/>
        <v>46.222924999999989</v>
      </c>
      <c r="Y18" s="74">
        <f t="shared" si="13"/>
        <v>-2.075000000004934E-3</v>
      </c>
      <c r="Z18" s="12"/>
    </row>
    <row r="19" spans="1:26" ht="15.6" customHeight="1" x14ac:dyDescent="0.25">
      <c r="A19" s="79">
        <v>13</v>
      </c>
      <c r="B19" s="28" t="s">
        <v>17</v>
      </c>
      <c r="C19" s="89">
        <v>20</v>
      </c>
      <c r="D19" s="61">
        <f>'CPDCL Q4 trueup'!D19</f>
        <v>0.2334</v>
      </c>
      <c r="E19" s="78">
        <v>7.0000000000000007E-2</v>
      </c>
      <c r="F19" s="71">
        <v>-8.212179E-3</v>
      </c>
      <c r="G19" s="74">
        <f t="shared" si="9"/>
        <v>-7.8212179000000007E-2</v>
      </c>
      <c r="H19" s="71">
        <v>2.5833333333333335</v>
      </c>
      <c r="I19" s="71">
        <v>2.5829599999999999</v>
      </c>
      <c r="J19" s="74">
        <f t="shared" si="10"/>
        <v>-3.7333333333355867E-4</v>
      </c>
      <c r="K19" s="71">
        <v>0</v>
      </c>
      <c r="L19" s="71">
        <v>0</v>
      </c>
      <c r="M19" s="74">
        <f t="shared" si="11"/>
        <v>0</v>
      </c>
      <c r="N19" s="78">
        <v>0</v>
      </c>
      <c r="O19" s="78">
        <v>0</v>
      </c>
      <c r="P19" s="74">
        <f t="shared" si="3"/>
        <v>0</v>
      </c>
      <c r="Q19" s="78">
        <v>0</v>
      </c>
      <c r="R19" s="78">
        <v>0</v>
      </c>
      <c r="S19" s="74">
        <f t="shared" si="4"/>
        <v>0</v>
      </c>
      <c r="T19" s="78">
        <v>0</v>
      </c>
      <c r="U19" s="78">
        <v>0</v>
      </c>
      <c r="V19" s="74">
        <f t="shared" si="5"/>
        <v>0</v>
      </c>
      <c r="W19" s="74">
        <f t="shared" si="12"/>
        <v>2.5833333333333335</v>
      </c>
      <c r="X19" s="74">
        <f t="shared" si="12"/>
        <v>2.5829599999999999</v>
      </c>
      <c r="Y19" s="74">
        <f t="shared" si="13"/>
        <v>-3.7333333333355867E-4</v>
      </c>
      <c r="Z19" s="12"/>
    </row>
    <row r="20" spans="1:26" ht="15.6" customHeight="1" x14ac:dyDescent="0.25">
      <c r="A20" s="79">
        <v>14</v>
      </c>
      <c r="B20" s="28" t="s">
        <v>18</v>
      </c>
      <c r="C20" s="89">
        <v>1</v>
      </c>
      <c r="D20" s="61">
        <f>'CPDCL Q4 trueup'!D20</f>
        <v>0.2334</v>
      </c>
      <c r="E20" s="78">
        <v>0.09</v>
      </c>
      <c r="F20" s="71">
        <v>7.36377E-2</v>
      </c>
      <c r="G20" s="74">
        <f t="shared" si="9"/>
        <v>-1.6362299999999996E-2</v>
      </c>
      <c r="H20" s="71">
        <v>0.34166666666666667</v>
      </c>
      <c r="I20" s="71">
        <v>0.34232000000000001</v>
      </c>
      <c r="J20" s="74">
        <f t="shared" si="10"/>
        <v>6.5333333333333909E-4</v>
      </c>
      <c r="K20" s="71">
        <v>0</v>
      </c>
      <c r="L20" s="71">
        <v>0</v>
      </c>
      <c r="M20" s="74">
        <f t="shared" si="11"/>
        <v>0</v>
      </c>
      <c r="N20" s="78">
        <v>0</v>
      </c>
      <c r="O20" s="78">
        <v>0</v>
      </c>
      <c r="P20" s="74">
        <f t="shared" si="3"/>
        <v>0</v>
      </c>
      <c r="Q20" s="78">
        <v>0</v>
      </c>
      <c r="R20" s="78">
        <v>0</v>
      </c>
      <c r="S20" s="74">
        <f t="shared" si="4"/>
        <v>0</v>
      </c>
      <c r="T20" s="78">
        <v>0</v>
      </c>
      <c r="U20" s="78">
        <v>0</v>
      </c>
      <c r="V20" s="74">
        <f t="shared" si="5"/>
        <v>0</v>
      </c>
      <c r="W20" s="74">
        <f t="shared" si="12"/>
        <v>0.34166666666666667</v>
      </c>
      <c r="X20" s="74">
        <f t="shared" si="12"/>
        <v>0.34232000000000001</v>
      </c>
      <c r="Y20" s="74">
        <f t="shared" si="13"/>
        <v>6.5333333333333909E-4</v>
      </c>
      <c r="Z20" s="12"/>
    </row>
    <row r="21" spans="1:26" s="37" customFormat="1" ht="15.6" customHeight="1" x14ac:dyDescent="0.25">
      <c r="A21" s="31"/>
      <c r="B21" s="30" t="s">
        <v>35</v>
      </c>
      <c r="C21" s="90">
        <f>SUM(C15:C20)</f>
        <v>1656</v>
      </c>
      <c r="D21" s="32"/>
      <c r="E21" s="32">
        <f t="shared" ref="E21:Y21" si="14">SUM(E15:E20)</f>
        <v>63.980000000000011</v>
      </c>
      <c r="F21" s="32">
        <f t="shared" si="14"/>
        <v>47.195769420600001</v>
      </c>
      <c r="G21" s="32">
        <f t="shared" si="14"/>
        <v>-16.784230579400003</v>
      </c>
      <c r="H21" s="32">
        <f t="shared" si="14"/>
        <v>107.45</v>
      </c>
      <c r="I21" s="32">
        <f t="shared" si="14"/>
        <v>107.44763499999998</v>
      </c>
      <c r="J21" s="32">
        <f t="shared" si="14"/>
        <v>-2.3650000000111082E-3</v>
      </c>
      <c r="K21" s="32">
        <f t="shared" si="14"/>
        <v>0</v>
      </c>
      <c r="L21" s="32">
        <f t="shared" si="14"/>
        <v>0</v>
      </c>
      <c r="M21" s="32">
        <f t="shared" si="14"/>
        <v>0</v>
      </c>
      <c r="N21" s="32">
        <f t="shared" si="14"/>
        <v>0</v>
      </c>
      <c r="O21" s="32">
        <f t="shared" si="14"/>
        <v>0</v>
      </c>
      <c r="P21" s="32">
        <f t="shared" si="14"/>
        <v>0</v>
      </c>
      <c r="Q21" s="32">
        <f t="shared" si="14"/>
        <v>0</v>
      </c>
      <c r="R21" s="32">
        <f t="shared" si="14"/>
        <v>0</v>
      </c>
      <c r="S21" s="32">
        <f t="shared" si="14"/>
        <v>0</v>
      </c>
      <c r="T21" s="32">
        <f t="shared" si="14"/>
        <v>0</v>
      </c>
      <c r="U21" s="32">
        <f t="shared" si="14"/>
        <v>0</v>
      </c>
      <c r="V21" s="32">
        <f t="shared" si="14"/>
        <v>0</v>
      </c>
      <c r="W21" s="32">
        <f t="shared" si="14"/>
        <v>107.45</v>
      </c>
      <c r="X21" s="32">
        <f t="shared" si="14"/>
        <v>107.44763499999998</v>
      </c>
      <c r="Y21" s="32">
        <f t="shared" si="14"/>
        <v>-2.3650000000111082E-3</v>
      </c>
      <c r="Z21" s="33"/>
    </row>
    <row r="22" spans="1:26" s="57" customFormat="1" ht="27" customHeight="1" x14ac:dyDescent="0.25">
      <c r="A22" s="52">
        <v>15</v>
      </c>
      <c r="B22" s="41" t="s">
        <v>109</v>
      </c>
      <c r="C22" s="88">
        <v>141.6</v>
      </c>
      <c r="D22" s="61">
        <f>'CPDCL Q4 trueup'!D22</f>
        <v>0.2334</v>
      </c>
      <c r="E22" s="54">
        <v>8.15</v>
      </c>
      <c r="F22" s="54">
        <v>9.4597253400000003</v>
      </c>
      <c r="G22" s="55">
        <f t="shared" si="9"/>
        <v>1.30972534</v>
      </c>
      <c r="H22" s="54">
        <v>12.024999999999999</v>
      </c>
      <c r="I22" s="54">
        <v>12.025935</v>
      </c>
      <c r="J22" s="55">
        <f t="shared" si="10"/>
        <v>9.3500000000190653E-4</v>
      </c>
      <c r="K22" s="54">
        <f>E22*0</f>
        <v>0</v>
      </c>
      <c r="L22" s="54"/>
      <c r="M22" s="55">
        <f t="shared" si="11"/>
        <v>0</v>
      </c>
      <c r="N22" s="54">
        <v>0</v>
      </c>
      <c r="O22" s="54">
        <v>0</v>
      </c>
      <c r="P22" s="55">
        <f>O22-N22</f>
        <v>0</v>
      </c>
      <c r="Q22" s="54">
        <v>0</v>
      </c>
      <c r="R22" s="54">
        <v>0</v>
      </c>
      <c r="S22" s="55">
        <f>R22-Q22</f>
        <v>0</v>
      </c>
      <c r="T22" s="54">
        <v>0</v>
      </c>
      <c r="U22" s="54">
        <v>0</v>
      </c>
      <c r="V22" s="55">
        <f>U22-T22</f>
        <v>0</v>
      </c>
      <c r="W22" s="55">
        <f>H22+K22+N22+Q22+T22</f>
        <v>12.024999999999999</v>
      </c>
      <c r="X22" s="55">
        <f>I22+L22+O22+R22+U22</f>
        <v>12.025935</v>
      </c>
      <c r="Y22" s="55">
        <f t="shared" si="13"/>
        <v>9.3500000000190653E-4</v>
      </c>
      <c r="Z22" s="56"/>
    </row>
    <row r="23" spans="1:26" s="37" customFormat="1" ht="15.95" customHeight="1" x14ac:dyDescent="0.25">
      <c r="A23" s="31"/>
      <c r="B23" s="30" t="s">
        <v>36</v>
      </c>
      <c r="C23" s="32">
        <f>C22+C21+C14</f>
        <v>5207.6000000000004</v>
      </c>
      <c r="D23" s="32"/>
      <c r="E23" s="32">
        <f t="shared" ref="E23:Y23" si="15">E22+E21+E14</f>
        <v>533.75</v>
      </c>
      <c r="F23" s="32">
        <f t="shared" si="15"/>
        <v>481.50422544060001</v>
      </c>
      <c r="G23" s="32">
        <f t="shared" si="15"/>
        <v>-52.245774559400047</v>
      </c>
      <c r="H23" s="32">
        <f t="shared" si="15"/>
        <v>594.15333333333331</v>
      </c>
      <c r="I23" s="32">
        <f t="shared" si="15"/>
        <v>-98.708382394999987</v>
      </c>
      <c r="J23" s="32">
        <f t="shared" si="15"/>
        <v>-692.86171572833337</v>
      </c>
      <c r="K23" s="32">
        <f t="shared" si="15"/>
        <v>1629.8200000000002</v>
      </c>
      <c r="L23" s="32">
        <f t="shared" si="15"/>
        <v>1479.2946487230001</v>
      </c>
      <c r="M23" s="32">
        <f t="shared" si="15"/>
        <v>-150.525351277</v>
      </c>
      <c r="N23" s="32">
        <f t="shared" si="15"/>
        <v>0</v>
      </c>
      <c r="O23" s="32">
        <f t="shared" si="15"/>
        <v>0</v>
      </c>
      <c r="P23" s="32">
        <f t="shared" si="15"/>
        <v>0</v>
      </c>
      <c r="Q23" s="32">
        <f t="shared" si="15"/>
        <v>0</v>
      </c>
      <c r="R23" s="32">
        <f t="shared" si="15"/>
        <v>0</v>
      </c>
      <c r="S23" s="32">
        <f t="shared" si="15"/>
        <v>0</v>
      </c>
      <c r="T23" s="32">
        <f t="shared" si="15"/>
        <v>0</v>
      </c>
      <c r="U23" s="32">
        <f t="shared" si="15"/>
        <v>0</v>
      </c>
      <c r="V23" s="32">
        <f t="shared" si="15"/>
        <v>0</v>
      </c>
      <c r="W23" s="32">
        <f t="shared" si="15"/>
        <v>2223.9733333333329</v>
      </c>
      <c r="X23" s="32">
        <f t="shared" si="15"/>
        <v>1380.586266328</v>
      </c>
      <c r="Y23" s="32">
        <f t="shared" si="15"/>
        <v>-843.38706700533339</v>
      </c>
      <c r="Z23" s="33"/>
    </row>
    <row r="24" spans="1:26" ht="15.75" customHeight="1" x14ac:dyDescent="0.25">
      <c r="A24" s="79">
        <v>16</v>
      </c>
      <c r="B24" s="29" t="s">
        <v>37</v>
      </c>
      <c r="C24" s="89">
        <v>2100</v>
      </c>
      <c r="D24" s="61">
        <f>'CPDCL Q4 trueup'!D24</f>
        <v>3.2000000000000001E-2</v>
      </c>
      <c r="E24" s="78">
        <v>38.03</v>
      </c>
      <c r="F24" s="78">
        <v>39.208458999999998</v>
      </c>
      <c r="G24" s="74">
        <f t="shared" si="9"/>
        <v>1.1784589999999966</v>
      </c>
      <c r="H24" s="78">
        <v>26.308333333333334</v>
      </c>
      <c r="I24" s="71">
        <v>27.638663999999999</v>
      </c>
      <c r="J24" s="74">
        <f t="shared" si="10"/>
        <v>1.330330666666665</v>
      </c>
      <c r="K24" s="78">
        <f>E24*2.44</f>
        <v>92.793199999999999</v>
      </c>
      <c r="L24" s="71">
        <v>118.95846400000001</v>
      </c>
      <c r="M24" s="74">
        <f t="shared" si="11"/>
        <v>26.165264000000008</v>
      </c>
      <c r="N24" s="78">
        <v>0</v>
      </c>
      <c r="O24" s="78">
        <v>0</v>
      </c>
      <c r="P24" s="74">
        <f t="shared" ref="P24:P38" si="16">O24-N24</f>
        <v>0</v>
      </c>
      <c r="Q24" s="78">
        <v>0</v>
      </c>
      <c r="R24" s="78">
        <v>0</v>
      </c>
      <c r="S24" s="74">
        <f t="shared" ref="S24:S38" si="17">R24-Q24</f>
        <v>0</v>
      </c>
      <c r="T24" s="78">
        <v>0</v>
      </c>
      <c r="U24" s="78">
        <v>0</v>
      </c>
      <c r="V24" s="74">
        <f t="shared" ref="V24:V38" si="18">U24-T24</f>
        <v>0</v>
      </c>
      <c r="W24" s="74">
        <f t="shared" ref="W24:X38" si="19">H24+K24+N24+Q24+T24</f>
        <v>119.10153333333334</v>
      </c>
      <c r="X24" s="74">
        <f t="shared" si="19"/>
        <v>146.597128</v>
      </c>
      <c r="Y24" s="74">
        <f t="shared" si="13"/>
        <v>27.495594666666662</v>
      </c>
      <c r="Z24" s="12"/>
    </row>
    <row r="25" spans="1:26" ht="15.75" customHeight="1" x14ac:dyDescent="0.25">
      <c r="A25" s="79">
        <v>17</v>
      </c>
      <c r="B25" s="29" t="s">
        <v>38</v>
      </c>
      <c r="C25" s="89">
        <v>1000</v>
      </c>
      <c r="D25" s="61">
        <f>'CPDCL Q4 trueup'!D25</f>
        <v>0.1076</v>
      </c>
      <c r="E25" s="78">
        <v>67.58</v>
      </c>
      <c r="F25" s="78">
        <v>72.267797000000002</v>
      </c>
      <c r="G25" s="74">
        <f t="shared" si="9"/>
        <v>4.6877970000000033</v>
      </c>
      <c r="H25" s="78">
        <v>75.341666666666669</v>
      </c>
      <c r="I25" s="71">
        <v>63.601230000000001</v>
      </c>
      <c r="J25" s="74">
        <f t="shared" si="10"/>
        <v>-11.740436666666668</v>
      </c>
      <c r="K25" s="78">
        <f>E25*3.15</f>
        <v>212.87699999999998</v>
      </c>
      <c r="L25" s="71">
        <v>216.22524799999999</v>
      </c>
      <c r="M25" s="74">
        <f t="shared" si="11"/>
        <v>3.3482480000000123</v>
      </c>
      <c r="N25" s="78">
        <v>0</v>
      </c>
      <c r="O25" s="78">
        <v>0</v>
      </c>
      <c r="P25" s="74">
        <f t="shared" si="16"/>
        <v>0</v>
      </c>
      <c r="Q25" s="78">
        <v>0</v>
      </c>
      <c r="R25" s="78">
        <v>0</v>
      </c>
      <c r="S25" s="74">
        <f t="shared" si="17"/>
        <v>0</v>
      </c>
      <c r="T25" s="78">
        <v>0</v>
      </c>
      <c r="U25" s="78">
        <v>0</v>
      </c>
      <c r="V25" s="74">
        <f t="shared" si="18"/>
        <v>0</v>
      </c>
      <c r="W25" s="74">
        <f t="shared" si="19"/>
        <v>288.21866666666665</v>
      </c>
      <c r="X25" s="74">
        <f t="shared" si="19"/>
        <v>279.82647800000001</v>
      </c>
      <c r="Y25" s="74">
        <f t="shared" si="13"/>
        <v>-8.392188666666641</v>
      </c>
      <c r="Z25" s="12"/>
    </row>
    <row r="26" spans="1:26" ht="15.75" customHeight="1" x14ac:dyDescent="0.25">
      <c r="A26" s="79">
        <v>18</v>
      </c>
      <c r="B26" s="29" t="s">
        <v>39</v>
      </c>
      <c r="C26" s="89">
        <v>1000</v>
      </c>
      <c r="D26" s="61">
        <f>'CPDCL Q4 trueup'!D26</f>
        <v>4.9000000000000002E-2</v>
      </c>
      <c r="E26" s="78">
        <v>32.22</v>
      </c>
      <c r="F26" s="78">
        <v>33.015295000000002</v>
      </c>
      <c r="G26" s="74">
        <f t="shared" si="9"/>
        <v>0.79529500000000297</v>
      </c>
      <c r="H26" s="78">
        <v>41.716666666666669</v>
      </c>
      <c r="I26" s="71">
        <v>52.913159</v>
      </c>
      <c r="J26" s="74">
        <f t="shared" si="10"/>
        <v>11.196492333333332</v>
      </c>
      <c r="K26" s="78">
        <f>E26*3.09</f>
        <v>99.559799999999996</v>
      </c>
      <c r="L26" s="71">
        <v>97.527180000000001</v>
      </c>
      <c r="M26" s="74">
        <f t="shared" si="11"/>
        <v>-2.0326199999999943</v>
      </c>
      <c r="N26" s="78">
        <v>0</v>
      </c>
      <c r="O26" s="78">
        <v>0</v>
      </c>
      <c r="P26" s="74">
        <f t="shared" si="16"/>
        <v>0</v>
      </c>
      <c r="Q26" s="78">
        <v>0</v>
      </c>
      <c r="R26" s="78">
        <v>0</v>
      </c>
      <c r="S26" s="74">
        <f t="shared" si="17"/>
        <v>0</v>
      </c>
      <c r="T26" s="78">
        <v>0</v>
      </c>
      <c r="U26" s="78">
        <v>0</v>
      </c>
      <c r="V26" s="74">
        <f t="shared" si="18"/>
        <v>0</v>
      </c>
      <c r="W26" s="74">
        <f t="shared" si="19"/>
        <v>141.27646666666666</v>
      </c>
      <c r="X26" s="74">
        <f t="shared" si="19"/>
        <v>150.44033899999999</v>
      </c>
      <c r="Y26" s="74">
        <f t="shared" si="13"/>
        <v>9.1638723333333303</v>
      </c>
      <c r="Z26" s="12"/>
    </row>
    <row r="27" spans="1:26" ht="15.75" customHeight="1" x14ac:dyDescent="0.25">
      <c r="A27" s="79">
        <v>19</v>
      </c>
      <c r="B27" s="29" t="s">
        <v>40</v>
      </c>
      <c r="C27" s="89">
        <v>2000</v>
      </c>
      <c r="D27" s="61">
        <f>'CPDCL Q4 trueup'!D27</f>
        <v>2.1000000000000001E-2</v>
      </c>
      <c r="E27" s="78">
        <v>24.14</v>
      </c>
      <c r="F27" s="78">
        <v>27.845728999999999</v>
      </c>
      <c r="G27" s="74">
        <f t="shared" si="9"/>
        <v>3.7057289999999981</v>
      </c>
      <c r="H27" s="78">
        <v>17.941666666666666</v>
      </c>
      <c r="I27" s="71">
        <v>19.730943</v>
      </c>
      <c r="J27" s="74">
        <f t="shared" si="10"/>
        <v>1.7892763333333335</v>
      </c>
      <c r="K27" s="78">
        <f>E27*1.98</f>
        <v>47.797200000000004</v>
      </c>
      <c r="L27" s="71">
        <v>48.210951999999999</v>
      </c>
      <c r="M27" s="74">
        <f t="shared" si="11"/>
        <v>0.41375199999999523</v>
      </c>
      <c r="N27" s="78">
        <v>0</v>
      </c>
      <c r="O27" s="78">
        <v>0</v>
      </c>
      <c r="P27" s="74">
        <f t="shared" si="16"/>
        <v>0</v>
      </c>
      <c r="Q27" s="78">
        <v>0</v>
      </c>
      <c r="R27" s="78">
        <v>0</v>
      </c>
      <c r="S27" s="74">
        <f t="shared" si="17"/>
        <v>0</v>
      </c>
      <c r="T27" s="78">
        <v>0</v>
      </c>
      <c r="U27" s="78">
        <v>0</v>
      </c>
      <c r="V27" s="74">
        <f t="shared" si="18"/>
        <v>0</v>
      </c>
      <c r="W27" s="74">
        <f t="shared" si="19"/>
        <v>65.738866666666667</v>
      </c>
      <c r="X27" s="74">
        <f t="shared" si="19"/>
        <v>67.941895000000002</v>
      </c>
      <c r="Y27" s="74">
        <f t="shared" si="13"/>
        <v>2.2030283333333358</v>
      </c>
      <c r="Z27" s="12"/>
    </row>
    <row r="28" spans="1:26" ht="15.75" customHeight="1" x14ac:dyDescent="0.25">
      <c r="A28" s="79">
        <v>20</v>
      </c>
      <c r="B28" s="29" t="s">
        <v>41</v>
      </c>
      <c r="C28" s="89">
        <v>500</v>
      </c>
      <c r="D28" s="61">
        <f>'CPDCL Q4 trueup'!D28</f>
        <v>3.3700000000000001E-2</v>
      </c>
      <c r="E28" s="78">
        <v>10.56</v>
      </c>
      <c r="F28" s="78">
        <v>11.391610999999999</v>
      </c>
      <c r="G28" s="74">
        <f t="shared" si="9"/>
        <v>0.83161099999999877</v>
      </c>
      <c r="H28" s="78">
        <v>6.6749999999999998</v>
      </c>
      <c r="I28" s="71">
        <v>8.6302439999999994</v>
      </c>
      <c r="J28" s="74">
        <f t="shared" si="10"/>
        <v>1.9552439999999995</v>
      </c>
      <c r="K28" s="78">
        <f>E28*2.4</f>
        <v>25.344000000000001</v>
      </c>
      <c r="L28" s="71">
        <v>33.958393000000001</v>
      </c>
      <c r="M28" s="74">
        <f t="shared" si="11"/>
        <v>8.6143929999999997</v>
      </c>
      <c r="N28" s="78">
        <v>0</v>
      </c>
      <c r="O28" s="78">
        <v>0</v>
      </c>
      <c r="P28" s="74">
        <f t="shared" si="16"/>
        <v>0</v>
      </c>
      <c r="Q28" s="78">
        <v>0</v>
      </c>
      <c r="R28" s="78">
        <v>0</v>
      </c>
      <c r="S28" s="74">
        <f t="shared" si="17"/>
        <v>0</v>
      </c>
      <c r="T28" s="78">
        <v>0</v>
      </c>
      <c r="U28" s="78">
        <v>0</v>
      </c>
      <c r="V28" s="74">
        <f t="shared" si="18"/>
        <v>0</v>
      </c>
      <c r="W28" s="74">
        <f t="shared" si="19"/>
        <v>32.018999999999998</v>
      </c>
      <c r="X28" s="74">
        <f t="shared" si="19"/>
        <v>42.588636999999999</v>
      </c>
      <c r="Y28" s="74">
        <f t="shared" si="13"/>
        <v>10.569637</v>
      </c>
      <c r="Z28" s="12"/>
    </row>
    <row r="29" spans="1:26" ht="15.75" customHeight="1" x14ac:dyDescent="0.25">
      <c r="A29" s="79">
        <v>21</v>
      </c>
      <c r="B29" s="29" t="s">
        <v>42</v>
      </c>
      <c r="C29" s="89">
        <v>2400</v>
      </c>
      <c r="D29" s="61">
        <f>'CPDCL Q4 trueup'!D29</f>
        <v>2.3800000000000002E-2</v>
      </c>
      <c r="E29" s="78">
        <v>33.119999999999997</v>
      </c>
      <c r="F29" s="78">
        <v>33.597220999999998</v>
      </c>
      <c r="G29" s="74">
        <f t="shared" si="9"/>
        <v>0.47722100000000012</v>
      </c>
      <c r="H29" s="78">
        <v>44.258333333333333</v>
      </c>
      <c r="I29" s="71">
        <v>52.782153000000001</v>
      </c>
      <c r="J29" s="74">
        <f t="shared" si="10"/>
        <v>8.5238196666666681</v>
      </c>
      <c r="K29" s="78">
        <f>E29*3.49</f>
        <v>115.58879999999999</v>
      </c>
      <c r="L29" s="71">
        <v>152.329801</v>
      </c>
      <c r="M29" s="74">
        <f t="shared" si="11"/>
        <v>36.741001000000011</v>
      </c>
      <c r="N29" s="78">
        <v>0</v>
      </c>
      <c r="O29" s="78">
        <v>0</v>
      </c>
      <c r="P29" s="74">
        <f t="shared" si="16"/>
        <v>0</v>
      </c>
      <c r="Q29" s="78">
        <v>0</v>
      </c>
      <c r="R29" s="78">
        <v>0</v>
      </c>
      <c r="S29" s="74">
        <f t="shared" si="17"/>
        <v>0</v>
      </c>
      <c r="T29" s="78">
        <v>0</v>
      </c>
      <c r="U29" s="78">
        <v>0</v>
      </c>
      <c r="V29" s="74">
        <f t="shared" si="18"/>
        <v>0</v>
      </c>
      <c r="W29" s="74">
        <f t="shared" si="19"/>
        <v>159.84713333333332</v>
      </c>
      <c r="X29" s="74">
        <f t="shared" si="19"/>
        <v>205.111954</v>
      </c>
      <c r="Y29" s="74">
        <f t="shared" si="13"/>
        <v>45.264820666666679</v>
      </c>
      <c r="Z29" s="12"/>
    </row>
    <row r="30" spans="1:26" ht="15.75" customHeight="1" x14ac:dyDescent="0.25">
      <c r="A30" s="79">
        <v>22</v>
      </c>
      <c r="B30" s="29" t="s">
        <v>86</v>
      </c>
      <c r="C30" s="89">
        <v>0</v>
      </c>
      <c r="D30" s="61">
        <f>'CPDCL Q4 trueup'!D30</f>
        <v>0</v>
      </c>
      <c r="E30" s="78"/>
      <c r="F30" s="78">
        <v>0</v>
      </c>
      <c r="G30" s="74">
        <f t="shared" si="9"/>
        <v>0</v>
      </c>
      <c r="H30" s="78">
        <v>0</v>
      </c>
      <c r="I30" s="71">
        <v>0</v>
      </c>
      <c r="J30" s="74">
        <f t="shared" si="10"/>
        <v>0</v>
      </c>
      <c r="K30" s="78"/>
      <c r="L30" s="71">
        <v>0</v>
      </c>
      <c r="M30" s="74">
        <f t="shared" si="11"/>
        <v>0</v>
      </c>
      <c r="N30" s="78">
        <v>0</v>
      </c>
      <c r="O30" s="78">
        <v>0</v>
      </c>
      <c r="P30" s="74">
        <f t="shared" si="16"/>
        <v>0</v>
      </c>
      <c r="Q30" s="78">
        <v>0</v>
      </c>
      <c r="R30" s="78">
        <v>0</v>
      </c>
      <c r="S30" s="74">
        <f t="shared" si="17"/>
        <v>0</v>
      </c>
      <c r="T30" s="78">
        <v>0</v>
      </c>
      <c r="U30" s="78">
        <v>0</v>
      </c>
      <c r="V30" s="74">
        <f t="shared" si="18"/>
        <v>0</v>
      </c>
      <c r="W30" s="74">
        <f t="shared" si="19"/>
        <v>0</v>
      </c>
      <c r="X30" s="74">
        <f t="shared" si="19"/>
        <v>0</v>
      </c>
      <c r="Y30" s="74">
        <f t="shared" si="13"/>
        <v>0</v>
      </c>
      <c r="Z30" s="12"/>
    </row>
    <row r="31" spans="1:26" ht="15.75" customHeight="1" x14ac:dyDescent="0.25">
      <c r="A31" s="79">
        <v>23</v>
      </c>
      <c r="B31" s="29" t="s">
        <v>43</v>
      </c>
      <c r="C31" s="89">
        <v>1500</v>
      </c>
      <c r="D31" s="61">
        <f>'CPDCL Q4 trueup'!D31</f>
        <v>1.34E-2</v>
      </c>
      <c r="E31" s="78">
        <v>14.23</v>
      </c>
      <c r="F31" s="78">
        <v>15.544699</v>
      </c>
      <c r="G31" s="74">
        <f t="shared" si="9"/>
        <v>1.3146989999999992</v>
      </c>
      <c r="H31" s="78">
        <v>18.041666666666664</v>
      </c>
      <c r="I31" s="71">
        <v>25.949128999999999</v>
      </c>
      <c r="J31" s="74">
        <f t="shared" si="10"/>
        <v>7.9074623333333349</v>
      </c>
      <c r="K31" s="78">
        <f>E31*3.42</f>
        <v>48.666600000000003</v>
      </c>
      <c r="L31" s="71">
        <v>51.470663999999999</v>
      </c>
      <c r="M31" s="74">
        <f t="shared" si="11"/>
        <v>2.8040639999999968</v>
      </c>
      <c r="N31" s="78">
        <v>0</v>
      </c>
      <c r="O31" s="78">
        <v>0</v>
      </c>
      <c r="P31" s="74">
        <f t="shared" si="16"/>
        <v>0</v>
      </c>
      <c r="Q31" s="78">
        <v>0</v>
      </c>
      <c r="R31" s="78">
        <v>0</v>
      </c>
      <c r="S31" s="74">
        <f t="shared" si="17"/>
        <v>0</v>
      </c>
      <c r="T31" s="78">
        <v>0</v>
      </c>
      <c r="U31" s="78">
        <v>0</v>
      </c>
      <c r="V31" s="74">
        <f t="shared" si="18"/>
        <v>0</v>
      </c>
      <c r="W31" s="74">
        <f t="shared" si="19"/>
        <v>66.708266666666674</v>
      </c>
      <c r="X31" s="74">
        <f t="shared" si="19"/>
        <v>77.419792999999999</v>
      </c>
      <c r="Y31" s="74">
        <f t="shared" si="13"/>
        <v>10.711526333333325</v>
      </c>
      <c r="Z31" s="12"/>
    </row>
    <row r="32" spans="1:26" ht="15.75" customHeight="1" x14ac:dyDescent="0.25">
      <c r="A32" s="79">
        <v>24</v>
      </c>
      <c r="B32" s="29" t="s">
        <v>44</v>
      </c>
      <c r="C32" s="89">
        <v>630</v>
      </c>
      <c r="D32" s="61">
        <f>'CPDCL Q4 trueup'!D32</f>
        <v>1.7299999999999999E-2</v>
      </c>
      <c r="E32" s="78">
        <v>6.7</v>
      </c>
      <c r="F32" s="78">
        <v>7.1829799999999997</v>
      </c>
      <c r="G32" s="74">
        <f t="shared" si="9"/>
        <v>0.48297999999999952</v>
      </c>
      <c r="H32" s="78">
        <v>8.2833333333333332</v>
      </c>
      <c r="I32" s="71">
        <v>5.1571509999999998</v>
      </c>
      <c r="J32" s="74">
        <f t="shared" si="10"/>
        <v>-3.1261823333333334</v>
      </c>
      <c r="K32" s="78">
        <f>E32*2.88</f>
        <v>19.295999999999999</v>
      </c>
      <c r="L32" s="71">
        <v>19.702138999999999</v>
      </c>
      <c r="M32" s="74">
        <f t="shared" si="11"/>
        <v>0.40613899999999958</v>
      </c>
      <c r="N32" s="78">
        <v>0</v>
      </c>
      <c r="O32" s="78">
        <v>0</v>
      </c>
      <c r="P32" s="74">
        <f t="shared" si="16"/>
        <v>0</v>
      </c>
      <c r="Q32" s="78">
        <v>0</v>
      </c>
      <c r="R32" s="78">
        <v>0</v>
      </c>
      <c r="S32" s="74">
        <f t="shared" si="17"/>
        <v>0</v>
      </c>
      <c r="T32" s="78">
        <v>0</v>
      </c>
      <c r="U32" s="78">
        <v>0</v>
      </c>
      <c r="V32" s="74">
        <f t="shared" si="18"/>
        <v>0</v>
      </c>
      <c r="W32" s="74">
        <f t="shared" si="19"/>
        <v>27.579333333333331</v>
      </c>
      <c r="X32" s="74">
        <f t="shared" si="19"/>
        <v>24.859289999999998</v>
      </c>
      <c r="Y32" s="74">
        <f t="shared" si="13"/>
        <v>-2.7200433333333329</v>
      </c>
      <c r="Z32" s="12"/>
    </row>
    <row r="33" spans="1:26" ht="15.75" customHeight="1" x14ac:dyDescent="0.25">
      <c r="A33" s="79">
        <v>25</v>
      </c>
      <c r="B33" s="29" t="s">
        <v>45</v>
      </c>
      <c r="C33" s="89">
        <v>840</v>
      </c>
      <c r="D33" s="61">
        <f>'CPDCL Q4 trueup'!D33</f>
        <v>2.3800000000000002E-2</v>
      </c>
      <c r="E33" s="78">
        <v>12.02</v>
      </c>
      <c r="F33" s="78">
        <v>9.8003479999999996</v>
      </c>
      <c r="G33" s="74">
        <f t="shared" si="9"/>
        <v>-2.219652</v>
      </c>
      <c r="H33" s="78">
        <v>8.5583333333333336</v>
      </c>
      <c r="I33" s="71">
        <v>7.0708386717999998</v>
      </c>
      <c r="J33" s="74">
        <f t="shared" si="10"/>
        <v>-1.4874946615333338</v>
      </c>
      <c r="K33" s="78">
        <f>E33*2.77</f>
        <v>33.295400000000001</v>
      </c>
      <c r="L33" s="71">
        <v>25.999056</v>
      </c>
      <c r="M33" s="74">
        <f t="shared" si="11"/>
        <v>-7.2963440000000013</v>
      </c>
      <c r="N33" s="78">
        <v>0</v>
      </c>
      <c r="O33" s="78">
        <v>0</v>
      </c>
      <c r="P33" s="74">
        <f t="shared" si="16"/>
        <v>0</v>
      </c>
      <c r="Q33" s="78">
        <v>0</v>
      </c>
      <c r="R33" s="78">
        <v>0</v>
      </c>
      <c r="S33" s="74">
        <f t="shared" si="17"/>
        <v>0</v>
      </c>
      <c r="T33" s="78">
        <v>0</v>
      </c>
      <c r="U33" s="78">
        <v>0</v>
      </c>
      <c r="V33" s="74">
        <f t="shared" si="18"/>
        <v>0</v>
      </c>
      <c r="W33" s="74">
        <f t="shared" si="19"/>
        <v>41.853733333333338</v>
      </c>
      <c r="X33" s="74">
        <f t="shared" si="19"/>
        <v>33.0698946718</v>
      </c>
      <c r="Y33" s="74">
        <f t="shared" si="13"/>
        <v>-8.7838386615333377</v>
      </c>
      <c r="Z33" s="12"/>
    </row>
    <row r="34" spans="1:26" ht="15.75" customHeight="1" x14ac:dyDescent="0.25">
      <c r="A34" s="79">
        <v>26</v>
      </c>
      <c r="B34" s="29" t="s">
        <v>19</v>
      </c>
      <c r="C34" s="89">
        <v>440</v>
      </c>
      <c r="D34" s="61">
        <f>'CPDCL Q4 trueup'!D34</f>
        <v>9.5999999999999992E-3</v>
      </c>
      <c r="E34" s="78">
        <v>0.99</v>
      </c>
      <c r="F34" s="78">
        <v>1.3084891806000001</v>
      </c>
      <c r="G34" s="74">
        <f t="shared" si="9"/>
        <v>0.31848918060000009</v>
      </c>
      <c r="H34" s="78">
        <v>0</v>
      </c>
      <c r="I34" s="71">
        <v>0</v>
      </c>
      <c r="J34" s="74">
        <f t="shared" si="10"/>
        <v>0</v>
      </c>
      <c r="K34" s="78">
        <f>E34*2.61</f>
        <v>2.5838999999999999</v>
      </c>
      <c r="L34" s="71">
        <v>3.3746079999999998</v>
      </c>
      <c r="M34" s="74">
        <f t="shared" si="11"/>
        <v>0.79070799999999997</v>
      </c>
      <c r="N34" s="78">
        <v>0</v>
      </c>
      <c r="O34" s="78">
        <v>0</v>
      </c>
      <c r="P34" s="74">
        <f t="shared" si="16"/>
        <v>0</v>
      </c>
      <c r="Q34" s="78">
        <v>0</v>
      </c>
      <c r="R34" s="78">
        <v>0</v>
      </c>
      <c r="S34" s="74">
        <f t="shared" si="17"/>
        <v>0</v>
      </c>
      <c r="T34" s="78">
        <v>0</v>
      </c>
      <c r="U34" s="78">
        <v>0</v>
      </c>
      <c r="V34" s="74">
        <f t="shared" si="18"/>
        <v>0</v>
      </c>
      <c r="W34" s="74">
        <f t="shared" si="19"/>
        <v>2.5838999999999999</v>
      </c>
      <c r="X34" s="74">
        <f t="shared" si="19"/>
        <v>3.3746079999999998</v>
      </c>
      <c r="Y34" s="74">
        <f t="shared" si="13"/>
        <v>0.79070799999999997</v>
      </c>
      <c r="Z34" s="12"/>
    </row>
    <row r="35" spans="1:26" ht="15.75" customHeight="1" x14ac:dyDescent="0.25">
      <c r="A35" s="79">
        <v>27</v>
      </c>
      <c r="B35" s="29" t="s">
        <v>46</v>
      </c>
      <c r="C35" s="107">
        <v>880</v>
      </c>
      <c r="D35" s="109">
        <f ca="1">'CPDCL Q4 trueup'!D35</f>
        <v>0</v>
      </c>
      <c r="E35" s="111">
        <v>15.87</v>
      </c>
      <c r="F35" s="106">
        <v>18.4803043788</v>
      </c>
      <c r="G35" s="97">
        <f>F35-E35</f>
        <v>2.6103043788000004</v>
      </c>
      <c r="H35" s="111">
        <v>0</v>
      </c>
      <c r="I35" s="105">
        <v>0</v>
      </c>
      <c r="J35" s="97">
        <f t="shared" si="10"/>
        <v>0</v>
      </c>
      <c r="K35" s="111">
        <f>E35*3.48</f>
        <v>55.227599999999995</v>
      </c>
      <c r="L35" s="105">
        <v>64.141886818800003</v>
      </c>
      <c r="M35" s="97">
        <f t="shared" si="11"/>
        <v>8.9142868188000079</v>
      </c>
      <c r="N35" s="99">
        <v>0</v>
      </c>
      <c r="O35" s="99">
        <v>0</v>
      </c>
      <c r="P35" s="97">
        <f t="shared" si="16"/>
        <v>0</v>
      </c>
      <c r="Q35" s="99">
        <v>0</v>
      </c>
      <c r="R35" s="99">
        <v>0</v>
      </c>
      <c r="S35" s="97">
        <f t="shared" si="17"/>
        <v>0</v>
      </c>
      <c r="T35" s="99">
        <v>0</v>
      </c>
      <c r="U35" s="99">
        <v>0</v>
      </c>
      <c r="V35" s="97">
        <f t="shared" si="18"/>
        <v>0</v>
      </c>
      <c r="W35" s="97">
        <f t="shared" si="19"/>
        <v>55.227599999999995</v>
      </c>
      <c r="X35" s="97">
        <f t="shared" si="19"/>
        <v>64.141886818800003</v>
      </c>
      <c r="Y35" s="97">
        <f t="shared" si="13"/>
        <v>8.9142868188000079</v>
      </c>
      <c r="Z35" s="12"/>
    </row>
    <row r="36" spans="1:26" ht="15.75" customHeight="1" x14ac:dyDescent="0.25">
      <c r="A36" s="79">
        <v>28</v>
      </c>
      <c r="B36" s="29" t="s">
        <v>47</v>
      </c>
      <c r="C36" s="108"/>
      <c r="D36" s="110"/>
      <c r="E36" s="112"/>
      <c r="F36" s="106"/>
      <c r="G36" s="98"/>
      <c r="H36" s="112"/>
      <c r="I36" s="105"/>
      <c r="J36" s="98"/>
      <c r="K36" s="112"/>
      <c r="L36" s="105"/>
      <c r="M36" s="98"/>
      <c r="N36" s="100"/>
      <c r="O36" s="100"/>
      <c r="P36" s="98"/>
      <c r="Q36" s="100"/>
      <c r="R36" s="100"/>
      <c r="S36" s="98"/>
      <c r="T36" s="100"/>
      <c r="U36" s="100"/>
      <c r="V36" s="98">
        <f t="shared" si="18"/>
        <v>0</v>
      </c>
      <c r="W36" s="98">
        <f t="shared" si="19"/>
        <v>0</v>
      </c>
      <c r="X36" s="98">
        <f t="shared" si="19"/>
        <v>0</v>
      </c>
      <c r="Y36" s="98">
        <f t="shared" si="13"/>
        <v>0</v>
      </c>
      <c r="Z36" s="12"/>
    </row>
    <row r="37" spans="1:26" ht="25.5" x14ac:dyDescent="0.25">
      <c r="A37" s="79">
        <v>29</v>
      </c>
      <c r="B37" s="29" t="s">
        <v>71</v>
      </c>
      <c r="C37" s="89">
        <v>1000</v>
      </c>
      <c r="D37" s="61">
        <f>'CPDCL Q4 trueup'!D37</f>
        <v>2.8299999999999999E-2</v>
      </c>
      <c r="E37" s="78">
        <v>16.899999999999999</v>
      </c>
      <c r="F37" s="78">
        <v>9.0822040000000008</v>
      </c>
      <c r="G37" s="74">
        <f t="shared" si="9"/>
        <v>-7.8177959999999977</v>
      </c>
      <c r="H37" s="78">
        <v>27.416666666666668</v>
      </c>
      <c r="I37" s="71">
        <v>14.623824000000001</v>
      </c>
      <c r="J37" s="74">
        <f t="shared" si="10"/>
        <v>-12.792842666666667</v>
      </c>
      <c r="K37" s="78">
        <f>E37*2.9</f>
        <v>49.009999999999991</v>
      </c>
      <c r="L37" s="71">
        <v>33.113714999999999</v>
      </c>
      <c r="M37" s="74">
        <f t="shared" si="11"/>
        <v>-15.896284999999992</v>
      </c>
      <c r="N37" s="78">
        <v>0</v>
      </c>
      <c r="O37" s="78">
        <v>0</v>
      </c>
      <c r="P37" s="74">
        <f t="shared" si="16"/>
        <v>0</v>
      </c>
      <c r="Q37" s="78">
        <v>0</v>
      </c>
      <c r="R37" s="78">
        <v>0</v>
      </c>
      <c r="S37" s="74">
        <f t="shared" si="17"/>
        <v>0</v>
      </c>
      <c r="T37" s="78">
        <v>0</v>
      </c>
      <c r="U37" s="78">
        <v>0</v>
      </c>
      <c r="V37" s="74">
        <f t="shared" si="18"/>
        <v>0</v>
      </c>
      <c r="W37" s="74">
        <f t="shared" si="19"/>
        <v>76.426666666666662</v>
      </c>
      <c r="X37" s="74">
        <f t="shared" si="19"/>
        <v>47.737538999999998</v>
      </c>
      <c r="Y37" s="74">
        <f t="shared" si="13"/>
        <v>-28.689127666666664</v>
      </c>
      <c r="Z37" s="12"/>
    </row>
    <row r="38" spans="1:26" ht="15.95" customHeight="1" x14ac:dyDescent="0.25">
      <c r="A38" s="79">
        <v>30</v>
      </c>
      <c r="B38" s="29" t="s">
        <v>48</v>
      </c>
      <c r="C38" s="89">
        <v>1000</v>
      </c>
      <c r="D38" s="61">
        <f>'CPDCL Q4 trueup'!D38</f>
        <v>1.23E-2</v>
      </c>
      <c r="E38" s="78">
        <v>3.78</v>
      </c>
      <c r="F38" s="78">
        <v>7.1394399999999996</v>
      </c>
      <c r="G38" s="74">
        <f t="shared" si="9"/>
        <v>3.3594399999999998</v>
      </c>
      <c r="H38" s="78">
        <v>8.5749999999999993</v>
      </c>
      <c r="I38" s="71">
        <v>12.665078234799998</v>
      </c>
      <c r="J38" s="74">
        <f t="shared" si="10"/>
        <v>4.0900782347999982</v>
      </c>
      <c r="K38" s="78">
        <f>E38*2.34</f>
        <v>8.8451999999999984</v>
      </c>
      <c r="L38" s="71">
        <v>15.761379000000002</v>
      </c>
      <c r="M38" s="74">
        <f t="shared" si="11"/>
        <v>6.9161790000000032</v>
      </c>
      <c r="N38" s="78">
        <v>0</v>
      </c>
      <c r="O38" s="78">
        <v>0</v>
      </c>
      <c r="P38" s="74">
        <f t="shared" si="16"/>
        <v>0</v>
      </c>
      <c r="Q38" s="78">
        <v>0</v>
      </c>
      <c r="R38" s="78">
        <v>0</v>
      </c>
      <c r="S38" s="74">
        <f t="shared" si="17"/>
        <v>0</v>
      </c>
      <c r="T38" s="78">
        <v>0</v>
      </c>
      <c r="U38" s="78">
        <v>0</v>
      </c>
      <c r="V38" s="74">
        <f t="shared" si="18"/>
        <v>0</v>
      </c>
      <c r="W38" s="74">
        <f t="shared" si="19"/>
        <v>17.420199999999998</v>
      </c>
      <c r="X38" s="74">
        <f t="shared" si="19"/>
        <v>28.426457234799997</v>
      </c>
      <c r="Y38" s="74">
        <f t="shared" si="13"/>
        <v>11.0062572348</v>
      </c>
      <c r="Z38" s="12"/>
    </row>
    <row r="39" spans="1:26" s="37" customFormat="1" ht="15.95" customHeight="1" x14ac:dyDescent="0.25">
      <c r="A39" s="31"/>
      <c r="B39" s="30" t="s">
        <v>49</v>
      </c>
      <c r="C39" s="90">
        <f>SUM(C24:C38)</f>
        <v>15290</v>
      </c>
      <c r="D39" s="32"/>
      <c r="E39" s="32">
        <f t="shared" ref="E39:Y39" si="20">SUM(E24:E38)</f>
        <v>276.13999999999993</v>
      </c>
      <c r="F39" s="32">
        <f t="shared" si="20"/>
        <v>285.86457655940001</v>
      </c>
      <c r="G39" s="32">
        <f t="shared" si="20"/>
        <v>9.7245765594000009</v>
      </c>
      <c r="H39" s="32">
        <f t="shared" si="20"/>
        <v>283.11666666666667</v>
      </c>
      <c r="I39" s="32">
        <f t="shared" si="20"/>
        <v>290.76241390659999</v>
      </c>
      <c r="J39" s="32">
        <f t="shared" si="20"/>
        <v>7.6457472399333319</v>
      </c>
      <c r="K39" s="32">
        <f t="shared" si="20"/>
        <v>810.88470000000007</v>
      </c>
      <c r="L39" s="32">
        <f t="shared" si="20"/>
        <v>880.77348581880005</v>
      </c>
      <c r="M39" s="32">
        <f t="shared" si="20"/>
        <v>69.888785818800031</v>
      </c>
      <c r="N39" s="32">
        <f t="shared" si="20"/>
        <v>0</v>
      </c>
      <c r="O39" s="32">
        <f t="shared" si="20"/>
        <v>0</v>
      </c>
      <c r="P39" s="32">
        <f t="shared" si="20"/>
        <v>0</v>
      </c>
      <c r="Q39" s="32">
        <f t="shared" si="20"/>
        <v>0</v>
      </c>
      <c r="R39" s="32">
        <f t="shared" si="20"/>
        <v>0</v>
      </c>
      <c r="S39" s="32">
        <f t="shared" si="20"/>
        <v>0</v>
      </c>
      <c r="T39" s="32">
        <f t="shared" si="20"/>
        <v>0</v>
      </c>
      <c r="U39" s="32">
        <f t="shared" si="20"/>
        <v>0</v>
      </c>
      <c r="V39" s="32">
        <f t="shared" si="20"/>
        <v>0</v>
      </c>
      <c r="W39" s="32">
        <f t="shared" si="20"/>
        <v>1094.0013666666669</v>
      </c>
      <c r="X39" s="32">
        <f t="shared" si="20"/>
        <v>1171.5358997254</v>
      </c>
      <c r="Y39" s="32">
        <f t="shared" si="20"/>
        <v>77.534533058733359</v>
      </c>
      <c r="Z39" s="33"/>
    </row>
    <row r="40" spans="1:26" s="51" customFormat="1" ht="15.6" customHeight="1" x14ac:dyDescent="0.25">
      <c r="A40" s="84">
        <v>31</v>
      </c>
      <c r="B40" s="53" t="s">
        <v>50</v>
      </c>
      <c r="C40" s="91" t="str">
        <f ca="1">'CPDCL Q4 trueup'!C40</f>
        <v>**</v>
      </c>
      <c r="D40" s="85">
        <f>'CPDCL Q4 trueup'!D40</f>
        <v>0</v>
      </c>
      <c r="E40" s="55">
        <v>5.35</v>
      </c>
      <c r="F40" s="55">
        <v>5.6565779999999997</v>
      </c>
      <c r="G40" s="55">
        <f t="shared" si="9"/>
        <v>0.30657800000000002</v>
      </c>
      <c r="H40" s="55">
        <v>9.0299999999999994</v>
      </c>
      <c r="I40" s="55">
        <v>0</v>
      </c>
      <c r="J40" s="55">
        <f t="shared" si="10"/>
        <v>-9.0299999999999994</v>
      </c>
      <c r="K40" s="55">
        <f>E40*3.58</f>
        <v>19.152999999999999</v>
      </c>
      <c r="L40" s="55">
        <v>23.902317</v>
      </c>
      <c r="M40" s="55">
        <f t="shared" si="11"/>
        <v>4.7493170000000013</v>
      </c>
      <c r="N40" s="78">
        <v>0</v>
      </c>
      <c r="O40" s="78">
        <v>0</v>
      </c>
      <c r="P40" s="55">
        <f>O40-N40</f>
        <v>0</v>
      </c>
      <c r="Q40" s="78">
        <v>0</v>
      </c>
      <c r="R40" s="78">
        <v>0</v>
      </c>
      <c r="S40" s="55">
        <f>R40-Q40</f>
        <v>0</v>
      </c>
      <c r="T40" s="78">
        <v>0</v>
      </c>
      <c r="U40" s="78">
        <v>0</v>
      </c>
      <c r="V40" s="55">
        <f>U40-T40</f>
        <v>0</v>
      </c>
      <c r="W40" s="55">
        <f t="shared" ref="W40:X45" si="21">H40+K40+N40+Q40+T40</f>
        <v>28.183</v>
      </c>
      <c r="X40" s="55">
        <f t="shared" si="21"/>
        <v>23.902317</v>
      </c>
      <c r="Y40" s="55">
        <f t="shared" si="13"/>
        <v>-4.2806829999999998</v>
      </c>
      <c r="Z40" s="50"/>
    </row>
    <row r="41" spans="1:26" ht="15.6" customHeight="1" x14ac:dyDescent="0.25">
      <c r="A41" s="79">
        <v>32</v>
      </c>
      <c r="B41" s="28" t="s">
        <v>51</v>
      </c>
      <c r="C41" s="78">
        <v>3766.6</v>
      </c>
      <c r="D41" s="61">
        <f>'CPDCL Q4 trueup'!D41</f>
        <v>0</v>
      </c>
      <c r="E41" s="78">
        <v>0</v>
      </c>
      <c r="F41" s="78">
        <v>0</v>
      </c>
      <c r="G41" s="74">
        <f t="shared" si="9"/>
        <v>0</v>
      </c>
      <c r="H41" s="78">
        <v>0</v>
      </c>
      <c r="I41" s="78">
        <v>0</v>
      </c>
      <c r="J41" s="74">
        <f t="shared" si="10"/>
        <v>0</v>
      </c>
      <c r="K41" s="78">
        <v>0</v>
      </c>
      <c r="L41" s="78">
        <v>0</v>
      </c>
      <c r="M41" s="74">
        <f t="shared" si="11"/>
        <v>0</v>
      </c>
      <c r="N41" s="78">
        <v>0</v>
      </c>
      <c r="O41" s="78">
        <v>0</v>
      </c>
      <c r="P41" s="74">
        <f t="shared" ref="P41:P45" si="22">O41-N41</f>
        <v>0</v>
      </c>
      <c r="Q41" s="78">
        <v>0</v>
      </c>
      <c r="R41" s="78">
        <v>0</v>
      </c>
      <c r="S41" s="74">
        <f t="shared" ref="S41:S45" si="23">R41-Q41</f>
        <v>0</v>
      </c>
      <c r="T41" s="78">
        <v>0</v>
      </c>
      <c r="U41" s="78">
        <v>0</v>
      </c>
      <c r="V41" s="74">
        <f t="shared" ref="V41:V45" si="24">U41-T41</f>
        <v>0</v>
      </c>
      <c r="W41" s="74">
        <f t="shared" si="21"/>
        <v>0</v>
      </c>
      <c r="X41" s="74">
        <f t="shared" si="21"/>
        <v>0</v>
      </c>
      <c r="Y41" s="74">
        <f t="shared" si="13"/>
        <v>0</v>
      </c>
      <c r="Z41" s="12"/>
    </row>
    <row r="42" spans="1:26" ht="15.6" customHeight="1" x14ac:dyDescent="0.25">
      <c r="A42" s="79">
        <v>33</v>
      </c>
      <c r="B42" s="28" t="s">
        <v>52</v>
      </c>
      <c r="C42" s="78">
        <v>309.66000000000003</v>
      </c>
      <c r="D42" s="61">
        <f>'CPDCL Q4 trueup'!D42</f>
        <v>0.29780000000000001</v>
      </c>
      <c r="E42" s="78">
        <v>12.84</v>
      </c>
      <c r="F42" s="78">
        <v>12.111772</v>
      </c>
      <c r="G42" s="74">
        <f t="shared" si="9"/>
        <v>-0.72822799999999965</v>
      </c>
      <c r="H42" s="78">
        <v>0</v>
      </c>
      <c r="I42" s="78">
        <v>0</v>
      </c>
      <c r="J42" s="74">
        <f t="shared" si="10"/>
        <v>0</v>
      </c>
      <c r="K42" s="78">
        <f>E42*5.14</f>
        <v>65.997599999999991</v>
      </c>
      <c r="L42" s="78">
        <v>72.1866725</v>
      </c>
      <c r="M42" s="74">
        <f t="shared" si="11"/>
        <v>6.1890725000000089</v>
      </c>
      <c r="N42" s="78">
        <v>0</v>
      </c>
      <c r="O42" s="78">
        <v>0</v>
      </c>
      <c r="P42" s="74">
        <f t="shared" si="22"/>
        <v>0</v>
      </c>
      <c r="Q42" s="78">
        <v>0</v>
      </c>
      <c r="R42" s="78">
        <v>0</v>
      </c>
      <c r="S42" s="74">
        <f t="shared" si="23"/>
        <v>0</v>
      </c>
      <c r="T42" s="78">
        <v>0</v>
      </c>
      <c r="U42" s="78">
        <v>0</v>
      </c>
      <c r="V42" s="74">
        <f t="shared" si="24"/>
        <v>0</v>
      </c>
      <c r="W42" s="74">
        <f t="shared" si="21"/>
        <v>65.997599999999991</v>
      </c>
      <c r="X42" s="74">
        <f t="shared" si="21"/>
        <v>72.1866725</v>
      </c>
      <c r="Y42" s="74">
        <f t="shared" si="13"/>
        <v>6.1890725000000089</v>
      </c>
      <c r="Z42" s="12"/>
    </row>
    <row r="43" spans="1:26" ht="15.6" customHeight="1" x14ac:dyDescent="0.25">
      <c r="A43" s="79">
        <v>34</v>
      </c>
      <c r="B43" s="28" t="s">
        <v>53</v>
      </c>
      <c r="C43" s="78">
        <v>1466.43</v>
      </c>
      <c r="D43" s="61">
        <f>'CPDCL Q4 trueup'!D43</f>
        <v>1.9099999999999999E-2</v>
      </c>
      <c r="E43" s="78">
        <v>9.98</v>
      </c>
      <c r="F43" s="78">
        <v>3.7884419999999999</v>
      </c>
      <c r="G43" s="74">
        <f t="shared" si="9"/>
        <v>-6.1915580000000006</v>
      </c>
      <c r="H43" s="78">
        <v>0</v>
      </c>
      <c r="I43" s="78">
        <v>0</v>
      </c>
      <c r="J43" s="74">
        <f t="shared" si="10"/>
        <v>0</v>
      </c>
      <c r="K43" s="78">
        <f>E43*2.44</f>
        <v>24.351200000000002</v>
      </c>
      <c r="L43" s="78">
        <v>26.750702739999998</v>
      </c>
      <c r="M43" s="74">
        <f t="shared" si="11"/>
        <v>2.3995027399999955</v>
      </c>
      <c r="N43" s="78">
        <v>0</v>
      </c>
      <c r="O43" s="78">
        <v>0</v>
      </c>
      <c r="P43" s="74">
        <f t="shared" si="22"/>
        <v>0</v>
      </c>
      <c r="Q43" s="78">
        <v>0</v>
      </c>
      <c r="R43" s="78">
        <v>0</v>
      </c>
      <c r="S43" s="74">
        <f t="shared" si="23"/>
        <v>0</v>
      </c>
      <c r="T43" s="78">
        <v>0</v>
      </c>
      <c r="U43" s="78">
        <v>0</v>
      </c>
      <c r="V43" s="74">
        <f t="shared" si="24"/>
        <v>0</v>
      </c>
      <c r="W43" s="74">
        <f t="shared" si="21"/>
        <v>24.351200000000002</v>
      </c>
      <c r="X43" s="74">
        <f t="shared" si="21"/>
        <v>26.750702739999998</v>
      </c>
      <c r="Y43" s="74">
        <f t="shared" si="13"/>
        <v>2.3995027399999955</v>
      </c>
      <c r="Z43" s="12"/>
    </row>
    <row r="44" spans="1:26" ht="15.6" customHeight="1" x14ac:dyDescent="0.25">
      <c r="A44" s="79">
        <v>35</v>
      </c>
      <c r="B44" s="28" t="s">
        <v>54</v>
      </c>
      <c r="C44" s="89">
        <v>39</v>
      </c>
      <c r="D44" s="61">
        <f>'CPDCL Q4 trueup'!D44</f>
        <v>0</v>
      </c>
      <c r="E44" s="78">
        <v>1.27</v>
      </c>
      <c r="F44" s="78">
        <v>0</v>
      </c>
      <c r="G44" s="74">
        <f t="shared" si="9"/>
        <v>-1.27</v>
      </c>
      <c r="H44" s="78">
        <v>0</v>
      </c>
      <c r="I44" s="78">
        <v>0</v>
      </c>
      <c r="J44" s="74">
        <f t="shared" si="10"/>
        <v>0</v>
      </c>
      <c r="K44" s="78">
        <f>E44*10.5</f>
        <v>13.335000000000001</v>
      </c>
      <c r="L44" s="78">
        <v>0</v>
      </c>
      <c r="M44" s="74">
        <f t="shared" si="11"/>
        <v>-13.335000000000001</v>
      </c>
      <c r="N44" s="78">
        <v>0</v>
      </c>
      <c r="O44" s="78">
        <v>0</v>
      </c>
      <c r="P44" s="74">
        <f t="shared" si="22"/>
        <v>0</v>
      </c>
      <c r="Q44" s="78">
        <v>0</v>
      </c>
      <c r="R44" s="78">
        <v>0</v>
      </c>
      <c r="S44" s="74">
        <f t="shared" si="23"/>
        <v>0</v>
      </c>
      <c r="T44" s="78">
        <v>0</v>
      </c>
      <c r="U44" s="78">
        <v>0</v>
      </c>
      <c r="V44" s="74">
        <f t="shared" si="24"/>
        <v>0</v>
      </c>
      <c r="W44" s="74">
        <f t="shared" si="21"/>
        <v>13.335000000000001</v>
      </c>
      <c r="X44" s="74">
        <f t="shared" si="21"/>
        <v>0</v>
      </c>
      <c r="Y44" s="74">
        <f t="shared" si="13"/>
        <v>-13.335000000000001</v>
      </c>
      <c r="Z44" s="12"/>
    </row>
    <row r="45" spans="1:26" ht="15.6" customHeight="1" x14ac:dyDescent="0.25">
      <c r="A45" s="79">
        <v>36</v>
      </c>
      <c r="B45" s="28" t="s">
        <v>55</v>
      </c>
      <c r="C45" s="89">
        <v>1250</v>
      </c>
      <c r="D45" s="61">
        <f>'CPDCL Q4 trueup'!D45</f>
        <v>0</v>
      </c>
      <c r="E45" s="78">
        <v>0</v>
      </c>
      <c r="F45" s="78">
        <v>0</v>
      </c>
      <c r="G45" s="74">
        <f t="shared" si="9"/>
        <v>0</v>
      </c>
      <c r="H45" s="78">
        <v>0</v>
      </c>
      <c r="I45" s="78">
        <v>0</v>
      </c>
      <c r="J45" s="74">
        <f t="shared" si="10"/>
        <v>0</v>
      </c>
      <c r="K45" s="78">
        <v>0</v>
      </c>
      <c r="L45" s="78">
        <v>0</v>
      </c>
      <c r="M45" s="74">
        <f t="shared" si="11"/>
        <v>0</v>
      </c>
      <c r="N45" s="78">
        <v>0</v>
      </c>
      <c r="O45" s="78">
        <v>0</v>
      </c>
      <c r="P45" s="74">
        <f t="shared" si="22"/>
        <v>0</v>
      </c>
      <c r="Q45" s="78">
        <v>0</v>
      </c>
      <c r="R45" s="78">
        <v>0</v>
      </c>
      <c r="S45" s="74">
        <f t="shared" si="23"/>
        <v>0</v>
      </c>
      <c r="T45" s="78">
        <v>0</v>
      </c>
      <c r="U45" s="78">
        <v>0</v>
      </c>
      <c r="V45" s="74">
        <f t="shared" si="24"/>
        <v>0</v>
      </c>
      <c r="W45" s="74">
        <f t="shared" si="21"/>
        <v>0</v>
      </c>
      <c r="X45" s="74">
        <f t="shared" si="21"/>
        <v>0</v>
      </c>
      <c r="Y45" s="74">
        <f t="shared" si="13"/>
        <v>0</v>
      </c>
      <c r="Z45" s="12"/>
    </row>
    <row r="46" spans="1:26" s="37" customFormat="1" ht="15.6" customHeight="1" x14ac:dyDescent="0.25">
      <c r="A46" s="31"/>
      <c r="B46" s="30" t="s">
        <v>56</v>
      </c>
      <c r="C46" s="32">
        <f>SUM(C41:C45)</f>
        <v>6831.69</v>
      </c>
      <c r="D46" s="32"/>
      <c r="E46" s="32">
        <f t="shared" ref="E46:Y46" si="25">SUM(E41:E45)</f>
        <v>24.09</v>
      </c>
      <c r="F46" s="32">
        <f t="shared" si="25"/>
        <v>15.900214</v>
      </c>
      <c r="G46" s="32">
        <f t="shared" si="25"/>
        <v>-8.1897859999999998</v>
      </c>
      <c r="H46" s="32">
        <f t="shared" si="25"/>
        <v>0</v>
      </c>
      <c r="I46" s="32">
        <f t="shared" si="25"/>
        <v>0</v>
      </c>
      <c r="J46" s="32">
        <f t="shared" si="25"/>
        <v>0</v>
      </c>
      <c r="K46" s="32">
        <f t="shared" si="25"/>
        <v>103.68379999999999</v>
      </c>
      <c r="L46" s="32">
        <f t="shared" si="25"/>
        <v>98.937375239999994</v>
      </c>
      <c r="M46" s="32">
        <f t="shared" si="25"/>
        <v>-4.7464247599999965</v>
      </c>
      <c r="N46" s="32">
        <f t="shared" si="25"/>
        <v>0</v>
      </c>
      <c r="O46" s="32">
        <f t="shared" si="25"/>
        <v>0</v>
      </c>
      <c r="P46" s="32">
        <f t="shared" si="25"/>
        <v>0</v>
      </c>
      <c r="Q46" s="32">
        <f t="shared" si="25"/>
        <v>0</v>
      </c>
      <c r="R46" s="32">
        <f t="shared" si="25"/>
        <v>0</v>
      </c>
      <c r="S46" s="32">
        <f t="shared" si="25"/>
        <v>0</v>
      </c>
      <c r="T46" s="32">
        <f t="shared" si="25"/>
        <v>0</v>
      </c>
      <c r="U46" s="32">
        <f t="shared" si="25"/>
        <v>0</v>
      </c>
      <c r="V46" s="32">
        <f t="shared" si="25"/>
        <v>0</v>
      </c>
      <c r="W46" s="32">
        <f t="shared" si="25"/>
        <v>103.68379999999999</v>
      </c>
      <c r="X46" s="32">
        <f t="shared" si="25"/>
        <v>98.937375239999994</v>
      </c>
      <c r="Y46" s="32">
        <f t="shared" si="25"/>
        <v>-4.7464247599999965</v>
      </c>
      <c r="Z46" s="33"/>
    </row>
    <row r="47" spans="1:26" ht="15.95" customHeight="1" x14ac:dyDescent="0.25">
      <c r="A47" s="79">
        <v>37</v>
      </c>
      <c r="B47" s="28" t="s">
        <v>57</v>
      </c>
      <c r="C47" s="89">
        <v>216</v>
      </c>
      <c r="D47" s="61">
        <f>'CPDCL Q4 trueup'!D47</f>
        <v>0.2334</v>
      </c>
      <c r="E47" s="78">
        <v>22.74</v>
      </c>
      <c r="F47" s="78">
        <v>11.031568142999999</v>
      </c>
      <c r="G47" s="74">
        <f t="shared" si="9"/>
        <v>-11.708431856999999</v>
      </c>
      <c r="H47" s="78">
        <v>3.8916666666666666</v>
      </c>
      <c r="I47" s="71">
        <v>4.5947149673999998</v>
      </c>
      <c r="J47" s="74">
        <f t="shared" si="10"/>
        <v>0.70304830073333324</v>
      </c>
      <c r="K47" s="78">
        <f>E47*2.2</f>
        <v>50.027999999999999</v>
      </c>
      <c r="L47" s="71">
        <v>33.615101704800004</v>
      </c>
      <c r="M47" s="74">
        <f t="shared" si="11"/>
        <v>-16.412898295199994</v>
      </c>
      <c r="N47" s="78">
        <v>0</v>
      </c>
      <c r="O47" s="78">
        <v>0</v>
      </c>
      <c r="P47" s="74">
        <f t="shared" ref="P47:P50" si="26">O47-N47</f>
        <v>0</v>
      </c>
      <c r="Q47" s="78">
        <v>0</v>
      </c>
      <c r="R47" s="78">
        <v>0</v>
      </c>
      <c r="S47" s="74">
        <f t="shared" ref="S47:S50" si="27">R47-Q47</f>
        <v>0</v>
      </c>
      <c r="T47" s="78">
        <v>0</v>
      </c>
      <c r="U47" s="78">
        <v>0</v>
      </c>
      <c r="V47" s="74">
        <f t="shared" ref="V47:V50" si="28">U47-T47</f>
        <v>0</v>
      </c>
      <c r="W47" s="74">
        <f t="shared" ref="W47:X50" si="29">H47+K47+N47+Q47+T47</f>
        <v>53.919666666666664</v>
      </c>
      <c r="X47" s="74">
        <f t="shared" si="29"/>
        <v>38.209816672200006</v>
      </c>
      <c r="Y47" s="74">
        <f t="shared" si="13"/>
        <v>-15.709849994466659</v>
      </c>
      <c r="Z47" s="12"/>
    </row>
    <row r="48" spans="1:26" ht="15.95" customHeight="1" x14ac:dyDescent="0.25">
      <c r="A48" s="79">
        <v>38</v>
      </c>
      <c r="B48" s="28" t="s">
        <v>20</v>
      </c>
      <c r="C48" s="89">
        <v>1240</v>
      </c>
      <c r="D48" s="61">
        <f>'CPDCL Q4 trueup'!D48</f>
        <v>4.3400000000000001E-2</v>
      </c>
      <c r="E48" s="78">
        <v>31.99</v>
      </c>
      <c r="F48" s="78">
        <v>34.419146266200002</v>
      </c>
      <c r="G48" s="74">
        <f t="shared" si="9"/>
        <v>2.4291462662000036</v>
      </c>
      <c r="H48" s="78">
        <v>54.349999999999994</v>
      </c>
      <c r="I48" s="71">
        <v>54.906183700199996</v>
      </c>
      <c r="J48" s="74">
        <f t="shared" si="10"/>
        <v>0.55618370020000185</v>
      </c>
      <c r="K48" s="78">
        <f>E48*2.33</f>
        <v>74.536699999999996</v>
      </c>
      <c r="L48" s="71">
        <v>76.066312891199999</v>
      </c>
      <c r="M48" s="74">
        <f t="shared" si="11"/>
        <v>1.5296128912000029</v>
      </c>
      <c r="N48" s="78">
        <v>0</v>
      </c>
      <c r="O48" s="78">
        <v>0</v>
      </c>
      <c r="P48" s="74">
        <f t="shared" si="26"/>
        <v>0</v>
      </c>
      <c r="Q48" s="78">
        <v>0</v>
      </c>
      <c r="R48" s="78">
        <v>0</v>
      </c>
      <c r="S48" s="74">
        <f t="shared" si="27"/>
        <v>0</v>
      </c>
      <c r="T48" s="78">
        <v>0</v>
      </c>
      <c r="U48" s="78">
        <v>0</v>
      </c>
      <c r="V48" s="74">
        <f t="shared" si="28"/>
        <v>0</v>
      </c>
      <c r="W48" s="74">
        <f t="shared" si="29"/>
        <v>128.88669999999999</v>
      </c>
      <c r="X48" s="74">
        <f t="shared" si="29"/>
        <v>130.97249659139999</v>
      </c>
      <c r="Y48" s="74">
        <f t="shared" si="13"/>
        <v>2.0857965913999976</v>
      </c>
      <c r="Z48" s="12"/>
    </row>
    <row r="49" spans="1:28" ht="15.95" customHeight="1" x14ac:dyDescent="0.25">
      <c r="A49" s="79">
        <v>39</v>
      </c>
      <c r="B49" s="28" t="s">
        <v>58</v>
      </c>
      <c r="C49" s="89">
        <v>1440</v>
      </c>
      <c r="D49" s="61">
        <f>'CPDCL Q4 trueup'!D49</f>
        <v>0.21010000000000001</v>
      </c>
      <c r="E49" s="78">
        <v>230.28</v>
      </c>
      <c r="F49" s="78">
        <v>137.56175880000001</v>
      </c>
      <c r="G49" s="74">
        <f t="shared" si="9"/>
        <v>-92.718241199999994</v>
      </c>
      <c r="H49" s="78">
        <v>346.44166666666672</v>
      </c>
      <c r="I49" s="71">
        <v>212.71505336999999</v>
      </c>
      <c r="J49" s="74">
        <f t="shared" si="10"/>
        <v>-133.72661329666673</v>
      </c>
      <c r="K49" s="78">
        <f>E49*3.14</f>
        <v>723.07920000000001</v>
      </c>
      <c r="L49" s="71">
        <v>431.94392263199995</v>
      </c>
      <c r="M49" s="74">
        <f t="shared" si="11"/>
        <v>-291.13527736800006</v>
      </c>
      <c r="N49" s="78">
        <v>0</v>
      </c>
      <c r="O49" s="78">
        <v>0</v>
      </c>
      <c r="P49" s="74">
        <f t="shared" si="26"/>
        <v>0</v>
      </c>
      <c r="Q49" s="78">
        <v>0</v>
      </c>
      <c r="R49" s="78">
        <v>0</v>
      </c>
      <c r="S49" s="74">
        <f t="shared" si="27"/>
        <v>0</v>
      </c>
      <c r="T49" s="78">
        <v>0</v>
      </c>
      <c r="U49" s="78">
        <v>0</v>
      </c>
      <c r="V49" s="74">
        <f t="shared" si="28"/>
        <v>0</v>
      </c>
      <c r="W49" s="74">
        <f t="shared" si="29"/>
        <v>1069.5208666666667</v>
      </c>
      <c r="X49" s="74">
        <f t="shared" si="29"/>
        <v>644.65897600199992</v>
      </c>
      <c r="Y49" s="74">
        <f t="shared" si="13"/>
        <v>-424.86189066466682</v>
      </c>
      <c r="Z49" s="12"/>
    </row>
    <row r="50" spans="1:28" ht="15.95" customHeight="1" x14ac:dyDescent="0.25">
      <c r="A50" s="79">
        <v>40</v>
      </c>
      <c r="B50" s="28" t="s">
        <v>87</v>
      </c>
      <c r="C50" s="89">
        <f>'CPDCL Q4 trueup'!C50</f>
        <v>1040</v>
      </c>
      <c r="D50" s="61">
        <f>'CPDCL Q4 trueup'!D50</f>
        <v>0.2334</v>
      </c>
      <c r="E50" s="78">
        <v>0</v>
      </c>
      <c r="F50" s="78">
        <v>16.948340999999999</v>
      </c>
      <c r="G50" s="74">
        <f t="shared" si="9"/>
        <v>16.948340999999999</v>
      </c>
      <c r="H50" s="78">
        <v>0</v>
      </c>
      <c r="I50" s="71">
        <v>0</v>
      </c>
      <c r="J50" s="74">
        <v>0</v>
      </c>
      <c r="K50" s="78">
        <v>0</v>
      </c>
      <c r="L50" s="71">
        <v>64.742662620000004</v>
      </c>
      <c r="M50" s="74">
        <f t="shared" si="11"/>
        <v>64.742662620000004</v>
      </c>
      <c r="N50" s="78">
        <v>0</v>
      </c>
      <c r="O50" s="78">
        <v>0</v>
      </c>
      <c r="P50" s="74">
        <f t="shared" si="26"/>
        <v>0</v>
      </c>
      <c r="Q50" s="78">
        <v>0</v>
      </c>
      <c r="R50" s="78">
        <v>0</v>
      </c>
      <c r="S50" s="74">
        <f t="shared" si="27"/>
        <v>0</v>
      </c>
      <c r="T50" s="78">
        <v>0</v>
      </c>
      <c r="U50" s="78">
        <v>0</v>
      </c>
      <c r="V50" s="74">
        <f t="shared" si="28"/>
        <v>0</v>
      </c>
      <c r="W50" s="74">
        <f t="shared" si="29"/>
        <v>0</v>
      </c>
      <c r="X50" s="74">
        <f t="shared" si="29"/>
        <v>64.742662620000004</v>
      </c>
      <c r="Y50" s="74">
        <f t="shared" si="13"/>
        <v>64.742662620000004</v>
      </c>
      <c r="Z50" s="12"/>
    </row>
    <row r="51" spans="1:28" s="37" customFormat="1" ht="15.95" customHeight="1" x14ac:dyDescent="0.25">
      <c r="A51" s="31"/>
      <c r="B51" s="30" t="s">
        <v>59</v>
      </c>
      <c r="C51" s="90">
        <f>SUM(C47:C50)</f>
        <v>3936</v>
      </c>
      <c r="D51" s="32"/>
      <c r="E51" s="32">
        <f t="shared" ref="E51:Y51" si="30">SUM(E47:E50)</f>
        <v>285.01</v>
      </c>
      <c r="F51" s="32">
        <f t="shared" si="30"/>
        <v>199.96081420920001</v>
      </c>
      <c r="G51" s="32">
        <f t="shared" si="30"/>
        <v>-85.049185790799996</v>
      </c>
      <c r="H51" s="32">
        <f t="shared" si="30"/>
        <v>404.68333333333339</v>
      </c>
      <c r="I51" s="32">
        <f t="shared" si="30"/>
        <v>272.2159520376</v>
      </c>
      <c r="J51" s="32">
        <f t="shared" si="30"/>
        <v>-132.46738129573339</v>
      </c>
      <c r="K51" s="32">
        <f t="shared" si="30"/>
        <v>847.64390000000003</v>
      </c>
      <c r="L51" s="32">
        <f t="shared" si="30"/>
        <v>606.36799984799995</v>
      </c>
      <c r="M51" s="32">
        <f t="shared" si="30"/>
        <v>-241.27590015200005</v>
      </c>
      <c r="N51" s="32">
        <f t="shared" si="30"/>
        <v>0</v>
      </c>
      <c r="O51" s="32">
        <f t="shared" si="30"/>
        <v>0</v>
      </c>
      <c r="P51" s="32">
        <f t="shared" si="30"/>
        <v>0</v>
      </c>
      <c r="Q51" s="32">
        <f t="shared" si="30"/>
        <v>0</v>
      </c>
      <c r="R51" s="32">
        <f t="shared" si="30"/>
        <v>0</v>
      </c>
      <c r="S51" s="32">
        <f t="shared" si="30"/>
        <v>0</v>
      </c>
      <c r="T51" s="32">
        <f t="shared" si="30"/>
        <v>0</v>
      </c>
      <c r="U51" s="32">
        <f t="shared" si="30"/>
        <v>0</v>
      </c>
      <c r="V51" s="32">
        <f t="shared" si="30"/>
        <v>0</v>
      </c>
      <c r="W51" s="32">
        <f t="shared" si="30"/>
        <v>1252.3272333333334</v>
      </c>
      <c r="X51" s="32">
        <f t="shared" si="30"/>
        <v>878.58395188559996</v>
      </c>
      <c r="Y51" s="32">
        <f t="shared" si="30"/>
        <v>-373.74328144773347</v>
      </c>
      <c r="Z51" s="33"/>
    </row>
    <row r="52" spans="1:28" s="37" customFormat="1" ht="15.95" customHeight="1" x14ac:dyDescent="0.25">
      <c r="A52" s="31"/>
      <c r="B52" s="30" t="s">
        <v>60</v>
      </c>
      <c r="C52" s="32"/>
      <c r="D52" s="32"/>
      <c r="E52" s="32">
        <f>E23+E39+E40+E46+E51</f>
        <v>1124.3399999999999</v>
      </c>
      <c r="F52" s="32">
        <f t="shared" ref="F52:Y52" si="31">F23+F39+F40+F46+F51</f>
        <v>988.8864082092</v>
      </c>
      <c r="G52" s="32">
        <f t="shared" si="31"/>
        <v>-135.45359179080003</v>
      </c>
      <c r="H52" s="32">
        <f t="shared" si="31"/>
        <v>1290.9833333333333</v>
      </c>
      <c r="I52" s="32">
        <f t="shared" si="31"/>
        <v>464.26998354919999</v>
      </c>
      <c r="J52" s="32">
        <f t="shared" si="31"/>
        <v>-826.71334978413336</v>
      </c>
      <c r="K52" s="32">
        <f t="shared" si="31"/>
        <v>3411.1853999999998</v>
      </c>
      <c r="L52" s="32">
        <f t="shared" si="31"/>
        <v>3089.2758266298006</v>
      </c>
      <c r="M52" s="32">
        <f t="shared" si="31"/>
        <v>-321.90957337020001</v>
      </c>
      <c r="N52" s="32">
        <f t="shared" si="31"/>
        <v>0</v>
      </c>
      <c r="O52" s="32">
        <f t="shared" si="31"/>
        <v>0</v>
      </c>
      <c r="P52" s="32">
        <f t="shared" si="31"/>
        <v>0</v>
      </c>
      <c r="Q52" s="32">
        <f t="shared" si="31"/>
        <v>0</v>
      </c>
      <c r="R52" s="32">
        <f t="shared" si="31"/>
        <v>0</v>
      </c>
      <c r="S52" s="32">
        <f t="shared" si="31"/>
        <v>0</v>
      </c>
      <c r="T52" s="32">
        <f t="shared" si="31"/>
        <v>0</v>
      </c>
      <c r="U52" s="32">
        <f t="shared" si="31"/>
        <v>0</v>
      </c>
      <c r="V52" s="32">
        <f t="shared" si="31"/>
        <v>0</v>
      </c>
      <c r="W52" s="32">
        <f t="shared" si="31"/>
        <v>4702.168733333333</v>
      </c>
      <c r="X52" s="32">
        <f t="shared" si="31"/>
        <v>3553.5458101790005</v>
      </c>
      <c r="Y52" s="32">
        <f t="shared" si="31"/>
        <v>-1148.6229231543334</v>
      </c>
      <c r="Z52" s="33"/>
    </row>
    <row r="53" spans="1:28" s="57" customFormat="1" ht="15.95" customHeight="1" x14ac:dyDescent="0.25">
      <c r="A53" s="52">
        <v>41</v>
      </c>
      <c r="B53" s="86" t="s">
        <v>61</v>
      </c>
      <c r="C53" s="52"/>
      <c r="D53" s="54"/>
      <c r="E53" s="54"/>
      <c r="F53" s="54">
        <v>0</v>
      </c>
      <c r="G53" s="55">
        <f t="shared" si="9"/>
        <v>0</v>
      </c>
      <c r="H53" s="54">
        <v>0</v>
      </c>
      <c r="I53" s="54">
        <v>0</v>
      </c>
      <c r="J53" s="55">
        <f t="shared" si="10"/>
        <v>0</v>
      </c>
      <c r="K53" s="54">
        <v>0</v>
      </c>
      <c r="L53" s="54">
        <v>8.6961390000000005</v>
      </c>
      <c r="M53" s="55">
        <f t="shared" si="11"/>
        <v>8.6961390000000005</v>
      </c>
      <c r="N53" s="78">
        <v>0</v>
      </c>
      <c r="O53" s="78">
        <v>0</v>
      </c>
      <c r="P53" s="55">
        <f>O53-N53</f>
        <v>0</v>
      </c>
      <c r="Q53" s="78">
        <v>0</v>
      </c>
      <c r="R53" s="78">
        <v>0</v>
      </c>
      <c r="S53" s="55">
        <f>R53-Q53</f>
        <v>0</v>
      </c>
      <c r="T53" s="78">
        <v>0</v>
      </c>
      <c r="U53" s="78">
        <v>0</v>
      </c>
      <c r="V53" s="55">
        <f>U53-T53</f>
        <v>0</v>
      </c>
      <c r="W53" s="55">
        <f t="shared" ref="W53:X56" si="32">H53+K53+N53+Q53+T53</f>
        <v>0</v>
      </c>
      <c r="X53" s="55">
        <f t="shared" si="32"/>
        <v>8.6961390000000005</v>
      </c>
      <c r="Y53" s="55">
        <f t="shared" si="13"/>
        <v>8.6961390000000005</v>
      </c>
      <c r="Z53" s="56"/>
    </row>
    <row r="54" spans="1:28" ht="15.95" customHeight="1" x14ac:dyDescent="0.25">
      <c r="A54" s="79">
        <v>42</v>
      </c>
      <c r="B54" s="28" t="s">
        <v>63</v>
      </c>
      <c r="C54" s="79"/>
      <c r="D54" s="78"/>
      <c r="E54" s="78"/>
      <c r="F54" s="78">
        <v>7.1016617999999996</v>
      </c>
      <c r="G54" s="74">
        <f t="shared" si="9"/>
        <v>7.1016617999999996</v>
      </c>
      <c r="H54" s="78">
        <v>0</v>
      </c>
      <c r="I54" s="78">
        <v>0</v>
      </c>
      <c r="J54" s="74">
        <f t="shared" si="10"/>
        <v>0</v>
      </c>
      <c r="K54" s="78">
        <v>0</v>
      </c>
      <c r="L54" s="71">
        <v>139.4513976426</v>
      </c>
      <c r="M54" s="74">
        <f t="shared" si="11"/>
        <v>139.4513976426</v>
      </c>
      <c r="N54" s="78">
        <v>0</v>
      </c>
      <c r="O54" s="78">
        <v>0</v>
      </c>
      <c r="P54" s="74">
        <f t="shared" ref="P54:P61" si="33">O54-N54</f>
        <v>0</v>
      </c>
      <c r="Q54" s="78">
        <v>0</v>
      </c>
      <c r="R54" s="78">
        <v>0</v>
      </c>
      <c r="S54" s="74">
        <f t="shared" ref="S54:S61" si="34">R54-Q54</f>
        <v>0</v>
      </c>
      <c r="T54" s="78">
        <v>0</v>
      </c>
      <c r="U54" s="78">
        <v>0</v>
      </c>
      <c r="V54" s="74">
        <f t="shared" ref="V54:V61" si="35">U54-T54</f>
        <v>0</v>
      </c>
      <c r="W54" s="74">
        <f t="shared" si="32"/>
        <v>0</v>
      </c>
      <c r="X54" s="74">
        <f t="shared" si="32"/>
        <v>139.4513976426</v>
      </c>
      <c r="Y54" s="74">
        <f t="shared" si="13"/>
        <v>139.4513976426</v>
      </c>
      <c r="Z54" s="12"/>
    </row>
    <row r="55" spans="1:28" ht="15.95" customHeight="1" x14ac:dyDescent="0.25">
      <c r="A55" s="79">
        <v>43</v>
      </c>
      <c r="B55" s="28" t="s">
        <v>98</v>
      </c>
      <c r="C55" s="79"/>
      <c r="D55" s="79"/>
      <c r="E55" s="78">
        <v>31.96</v>
      </c>
      <c r="F55" s="78">
        <v>361.11467820240011</v>
      </c>
      <c r="G55" s="74">
        <f t="shared" si="9"/>
        <v>329.15467820240013</v>
      </c>
      <c r="H55" s="78">
        <v>0</v>
      </c>
      <c r="I55" s="78">
        <v>0</v>
      </c>
      <c r="J55" s="74">
        <f t="shared" si="10"/>
        <v>0</v>
      </c>
      <c r="K55" s="78">
        <f>E55*3.7</f>
        <v>118.25200000000001</v>
      </c>
      <c r="L55" s="71">
        <v>2934.2936354169997</v>
      </c>
      <c r="M55" s="74">
        <f t="shared" si="11"/>
        <v>2816.0416354169997</v>
      </c>
      <c r="N55" s="78">
        <v>0</v>
      </c>
      <c r="O55" s="78">
        <v>0</v>
      </c>
      <c r="P55" s="74">
        <f t="shared" si="33"/>
        <v>0</v>
      </c>
      <c r="Q55" s="78">
        <v>0</v>
      </c>
      <c r="R55" s="78">
        <v>0</v>
      </c>
      <c r="S55" s="74">
        <f t="shared" si="34"/>
        <v>0</v>
      </c>
      <c r="T55" s="78">
        <v>0</v>
      </c>
      <c r="U55" s="78">
        <v>0</v>
      </c>
      <c r="V55" s="74">
        <f t="shared" si="35"/>
        <v>0</v>
      </c>
      <c r="W55" s="74">
        <f t="shared" si="32"/>
        <v>118.25200000000001</v>
      </c>
      <c r="X55" s="74">
        <f t="shared" si="32"/>
        <v>2934.2936354169997</v>
      </c>
      <c r="Y55" s="74">
        <f t="shared" si="13"/>
        <v>2816.0416354169997</v>
      </c>
      <c r="Z55" s="12"/>
    </row>
    <row r="56" spans="1:28" ht="15.95" customHeight="1" x14ac:dyDescent="0.25">
      <c r="A56" s="79">
        <v>44</v>
      </c>
      <c r="B56" s="28" t="s">
        <v>21</v>
      </c>
      <c r="C56" s="79"/>
      <c r="D56" s="79"/>
      <c r="E56" s="78">
        <v>229.32</v>
      </c>
      <c r="F56" s="78">
        <v>173.35767906409046</v>
      </c>
      <c r="G56" s="74">
        <f t="shared" si="9"/>
        <v>-55.962320935909531</v>
      </c>
      <c r="H56" s="78">
        <v>0</v>
      </c>
      <c r="I56" s="78">
        <v>0</v>
      </c>
      <c r="J56" s="74">
        <f t="shared" si="10"/>
        <v>0</v>
      </c>
      <c r="K56" s="78">
        <f>E56*2.93</f>
        <v>671.9076</v>
      </c>
      <c r="L56" s="71">
        <v>818.94739342303535</v>
      </c>
      <c r="M56" s="74">
        <f t="shared" si="11"/>
        <v>147.03979342303535</v>
      </c>
      <c r="N56" s="78">
        <v>0</v>
      </c>
      <c r="O56" s="78">
        <v>0</v>
      </c>
      <c r="P56" s="74">
        <f t="shared" si="33"/>
        <v>0</v>
      </c>
      <c r="Q56" s="78">
        <v>0</v>
      </c>
      <c r="R56" s="78">
        <v>0</v>
      </c>
      <c r="S56" s="74">
        <f t="shared" si="34"/>
        <v>0</v>
      </c>
      <c r="T56" s="78">
        <v>0</v>
      </c>
      <c r="U56" s="78">
        <v>0</v>
      </c>
      <c r="V56" s="74">
        <f t="shared" si="35"/>
        <v>0</v>
      </c>
      <c r="W56" s="74">
        <f t="shared" si="32"/>
        <v>671.9076</v>
      </c>
      <c r="X56" s="74">
        <f t="shared" si="32"/>
        <v>818.94739342303535</v>
      </c>
      <c r="Y56" s="74">
        <f t="shared" si="13"/>
        <v>147.03979342303535</v>
      </c>
      <c r="Z56" s="15"/>
    </row>
    <row r="57" spans="1:28" s="43" customFormat="1" ht="15.95" customHeight="1" x14ac:dyDescent="0.25">
      <c r="A57" s="31"/>
      <c r="B57" s="30" t="s">
        <v>62</v>
      </c>
      <c r="C57" s="31"/>
      <c r="D57" s="32"/>
      <c r="E57" s="32">
        <f>SUM(E52:E56)</f>
        <v>1385.62</v>
      </c>
      <c r="F57" s="32">
        <f t="shared" ref="F57:Y57" si="36">SUM(F52:F56)</f>
        <v>1530.4604272756906</v>
      </c>
      <c r="G57" s="32">
        <f t="shared" si="36"/>
        <v>144.84042727569056</v>
      </c>
      <c r="H57" s="32">
        <f t="shared" si="36"/>
        <v>1290.9833333333333</v>
      </c>
      <c r="I57" s="32">
        <f t="shared" si="36"/>
        <v>464.26998354919999</v>
      </c>
      <c r="J57" s="32">
        <f t="shared" si="36"/>
        <v>-826.71334978413336</v>
      </c>
      <c r="K57" s="32">
        <f t="shared" si="36"/>
        <v>4201.3449999999993</v>
      </c>
      <c r="L57" s="32">
        <f t="shared" si="36"/>
        <v>6990.664392112436</v>
      </c>
      <c r="M57" s="32">
        <f t="shared" si="36"/>
        <v>2789.3193921124353</v>
      </c>
      <c r="N57" s="32">
        <f t="shared" si="36"/>
        <v>0</v>
      </c>
      <c r="O57" s="32">
        <f t="shared" si="36"/>
        <v>0</v>
      </c>
      <c r="P57" s="32">
        <f t="shared" si="36"/>
        <v>0</v>
      </c>
      <c r="Q57" s="32">
        <f t="shared" si="36"/>
        <v>0</v>
      </c>
      <c r="R57" s="32">
        <f t="shared" si="36"/>
        <v>0</v>
      </c>
      <c r="S57" s="32">
        <f t="shared" si="36"/>
        <v>0</v>
      </c>
      <c r="T57" s="32">
        <f t="shared" si="36"/>
        <v>0</v>
      </c>
      <c r="U57" s="32">
        <f t="shared" si="36"/>
        <v>0</v>
      </c>
      <c r="V57" s="32">
        <f t="shared" si="36"/>
        <v>0</v>
      </c>
      <c r="W57" s="32">
        <f t="shared" si="36"/>
        <v>5492.3283333333329</v>
      </c>
      <c r="X57" s="32">
        <f t="shared" si="36"/>
        <v>7454.9343756616363</v>
      </c>
      <c r="Y57" s="32">
        <f t="shared" si="36"/>
        <v>1962.6060423283016</v>
      </c>
      <c r="Z57" s="42"/>
      <c r="AA57" s="37"/>
      <c r="AB57" s="37"/>
    </row>
    <row r="58" spans="1:28" s="16" customFormat="1" ht="15.95" customHeight="1" x14ac:dyDescent="0.25">
      <c r="A58" s="73">
        <v>45</v>
      </c>
      <c r="B58" s="28" t="s">
        <v>64</v>
      </c>
      <c r="C58" s="79"/>
      <c r="D58" s="79"/>
      <c r="E58" s="78"/>
      <c r="F58" s="78"/>
      <c r="G58" s="74">
        <f t="shared" si="9"/>
        <v>0</v>
      </c>
      <c r="H58" s="78">
        <v>477.37500000000006</v>
      </c>
      <c r="I58" s="71">
        <v>360.919826</v>
      </c>
      <c r="J58" s="74">
        <f t="shared" si="10"/>
        <v>-116.45517400000006</v>
      </c>
      <c r="K58" s="78"/>
      <c r="L58" s="71"/>
      <c r="M58" s="74">
        <f t="shared" si="11"/>
        <v>0</v>
      </c>
      <c r="N58" s="71"/>
      <c r="O58" s="71"/>
      <c r="P58" s="74">
        <f t="shared" si="33"/>
        <v>0</v>
      </c>
      <c r="Q58" s="71"/>
      <c r="R58" s="71"/>
      <c r="S58" s="74">
        <f t="shared" si="34"/>
        <v>0</v>
      </c>
      <c r="T58" s="71"/>
      <c r="U58" s="71"/>
      <c r="V58" s="74">
        <f t="shared" si="35"/>
        <v>0</v>
      </c>
      <c r="W58" s="74">
        <f t="shared" ref="W58:X61" si="37">H58+K58+N58+Q58+T58</f>
        <v>477.37500000000006</v>
      </c>
      <c r="X58" s="74">
        <f t="shared" si="37"/>
        <v>360.919826</v>
      </c>
      <c r="Y58" s="74">
        <f t="shared" si="13"/>
        <v>-116.45517400000006</v>
      </c>
      <c r="Z58" s="15"/>
      <c r="AA58" s="1"/>
      <c r="AB58" s="1"/>
    </row>
    <row r="59" spans="1:28" s="16" customFormat="1" ht="15.95" customHeight="1" x14ac:dyDescent="0.25">
      <c r="A59" s="73">
        <v>46</v>
      </c>
      <c r="B59" s="28" t="s">
        <v>65</v>
      </c>
      <c r="C59" s="79"/>
      <c r="D59" s="79"/>
      <c r="E59" s="78"/>
      <c r="F59" s="78"/>
      <c r="G59" s="74">
        <f t="shared" si="9"/>
        <v>0</v>
      </c>
      <c r="H59" s="78">
        <v>6.8333333333333321</v>
      </c>
      <c r="I59" s="71">
        <v>5.8748659999999999</v>
      </c>
      <c r="J59" s="74">
        <f t="shared" si="10"/>
        <v>-0.95846733333333223</v>
      </c>
      <c r="K59" s="78"/>
      <c r="L59" s="71"/>
      <c r="M59" s="74">
        <f t="shared" si="11"/>
        <v>0</v>
      </c>
      <c r="N59" s="71"/>
      <c r="O59" s="71"/>
      <c r="P59" s="74">
        <f t="shared" si="33"/>
        <v>0</v>
      </c>
      <c r="Q59" s="71"/>
      <c r="R59" s="71"/>
      <c r="S59" s="74">
        <f t="shared" si="34"/>
        <v>0</v>
      </c>
      <c r="T59" s="71"/>
      <c r="U59" s="71"/>
      <c r="V59" s="74">
        <f t="shared" si="35"/>
        <v>0</v>
      </c>
      <c r="W59" s="74">
        <f t="shared" si="37"/>
        <v>6.8333333333333321</v>
      </c>
      <c r="X59" s="74">
        <f t="shared" si="37"/>
        <v>5.8748659999999999</v>
      </c>
      <c r="Y59" s="74">
        <f t="shared" si="13"/>
        <v>-0.95846733333333223</v>
      </c>
      <c r="Z59" s="15"/>
      <c r="AA59" s="1"/>
      <c r="AB59" s="1"/>
    </row>
    <row r="60" spans="1:28" s="16" customFormat="1" ht="15.95" customHeight="1" x14ac:dyDescent="0.25">
      <c r="A60" s="73">
        <v>47</v>
      </c>
      <c r="B60" s="28" t="s">
        <v>66</v>
      </c>
      <c r="C60" s="79"/>
      <c r="D60" s="79"/>
      <c r="E60" s="78"/>
      <c r="F60" s="78"/>
      <c r="G60" s="74">
        <f t="shared" si="9"/>
        <v>0</v>
      </c>
      <c r="H60" s="78">
        <v>288.375</v>
      </c>
      <c r="I60" s="71">
        <v>155.337791393</v>
      </c>
      <c r="J60" s="74">
        <f t="shared" si="10"/>
        <v>-133.037208607</v>
      </c>
      <c r="K60" s="78"/>
      <c r="L60" s="71"/>
      <c r="M60" s="74">
        <f t="shared" si="11"/>
        <v>0</v>
      </c>
      <c r="N60" s="71"/>
      <c r="O60" s="71"/>
      <c r="P60" s="74">
        <f t="shared" si="33"/>
        <v>0</v>
      </c>
      <c r="Q60" s="71"/>
      <c r="R60" s="71"/>
      <c r="S60" s="74">
        <f t="shared" si="34"/>
        <v>0</v>
      </c>
      <c r="T60" s="71"/>
      <c r="U60" s="71"/>
      <c r="V60" s="74">
        <f t="shared" si="35"/>
        <v>0</v>
      </c>
      <c r="W60" s="74">
        <f t="shared" si="37"/>
        <v>288.375</v>
      </c>
      <c r="X60" s="74">
        <f t="shared" si="37"/>
        <v>155.337791393</v>
      </c>
      <c r="Y60" s="74">
        <f t="shared" si="13"/>
        <v>-133.037208607</v>
      </c>
      <c r="Z60" s="15"/>
      <c r="AA60" s="1"/>
      <c r="AB60" s="1"/>
    </row>
    <row r="61" spans="1:28" s="16" customFormat="1" ht="15.95" customHeight="1" x14ac:dyDescent="0.25">
      <c r="A61" s="73">
        <v>48</v>
      </c>
      <c r="B61" s="28" t="s">
        <v>67</v>
      </c>
      <c r="C61" s="79"/>
      <c r="D61" s="79"/>
      <c r="E61" s="78"/>
      <c r="F61" s="78"/>
      <c r="G61" s="74">
        <f t="shared" si="9"/>
        <v>0</v>
      </c>
      <c r="H61" s="78">
        <v>2.8833333333333333</v>
      </c>
      <c r="I61" s="71">
        <v>0.57044659322116098</v>
      </c>
      <c r="J61" s="74">
        <f t="shared" si="10"/>
        <v>-2.3128867401121722</v>
      </c>
      <c r="K61" s="78"/>
      <c r="L61" s="71"/>
      <c r="M61" s="74">
        <f t="shared" si="11"/>
        <v>0</v>
      </c>
      <c r="N61" s="71"/>
      <c r="O61" s="71"/>
      <c r="P61" s="74">
        <f t="shared" si="33"/>
        <v>0</v>
      </c>
      <c r="Q61" s="71"/>
      <c r="R61" s="71"/>
      <c r="S61" s="74">
        <f t="shared" si="34"/>
        <v>0</v>
      </c>
      <c r="T61" s="71"/>
      <c r="U61" s="71"/>
      <c r="V61" s="74">
        <f t="shared" si="35"/>
        <v>0</v>
      </c>
      <c r="W61" s="74">
        <f t="shared" si="37"/>
        <v>2.8833333333333333</v>
      </c>
      <c r="X61" s="74">
        <f t="shared" si="37"/>
        <v>0.57044659322116098</v>
      </c>
      <c r="Y61" s="74">
        <f t="shared" si="13"/>
        <v>-2.3128867401121722</v>
      </c>
      <c r="Z61" s="15"/>
      <c r="AA61" s="1"/>
      <c r="AB61" s="1"/>
    </row>
    <row r="62" spans="1:28" s="37" customFormat="1" ht="25.5" x14ac:dyDescent="0.25">
      <c r="A62" s="31"/>
      <c r="B62" s="30" t="s">
        <v>68</v>
      </c>
      <c r="C62" s="31"/>
      <c r="D62" s="31"/>
      <c r="E62" s="32">
        <f>SUM(E58:E61)</f>
        <v>0</v>
      </c>
      <c r="F62" s="32">
        <f t="shared" ref="F62:Y62" si="38">SUM(F58:F61)</f>
        <v>0</v>
      </c>
      <c r="G62" s="32">
        <f t="shared" si="38"/>
        <v>0</v>
      </c>
      <c r="H62" s="32">
        <f t="shared" si="38"/>
        <v>775.4666666666667</v>
      </c>
      <c r="I62" s="32">
        <f t="shared" si="38"/>
        <v>522.70292998622119</v>
      </c>
      <c r="J62" s="32">
        <f t="shared" si="38"/>
        <v>-252.76373668044556</v>
      </c>
      <c r="K62" s="32">
        <f t="shared" si="38"/>
        <v>0</v>
      </c>
      <c r="L62" s="32">
        <f t="shared" si="38"/>
        <v>0</v>
      </c>
      <c r="M62" s="32">
        <f t="shared" si="38"/>
        <v>0</v>
      </c>
      <c r="N62" s="32">
        <f t="shared" si="38"/>
        <v>0</v>
      </c>
      <c r="O62" s="32">
        <f t="shared" si="38"/>
        <v>0</v>
      </c>
      <c r="P62" s="32">
        <f t="shared" si="38"/>
        <v>0</v>
      </c>
      <c r="Q62" s="32">
        <f t="shared" si="38"/>
        <v>0</v>
      </c>
      <c r="R62" s="32">
        <f t="shared" si="38"/>
        <v>0</v>
      </c>
      <c r="S62" s="32">
        <f t="shared" si="38"/>
        <v>0</v>
      </c>
      <c r="T62" s="32">
        <f t="shared" si="38"/>
        <v>0</v>
      </c>
      <c r="U62" s="32">
        <f t="shared" si="38"/>
        <v>0</v>
      </c>
      <c r="V62" s="32">
        <f t="shared" si="38"/>
        <v>0</v>
      </c>
      <c r="W62" s="32">
        <f t="shared" si="38"/>
        <v>775.4666666666667</v>
      </c>
      <c r="X62" s="32">
        <f t="shared" si="38"/>
        <v>522.70292998622119</v>
      </c>
      <c r="Y62" s="32">
        <f t="shared" si="38"/>
        <v>-252.76373668044556</v>
      </c>
      <c r="Z62" s="34"/>
    </row>
    <row r="63" spans="1:28" s="37" customFormat="1" ht="15.95" customHeight="1" x14ac:dyDescent="0.25">
      <c r="A63" s="31"/>
      <c r="B63" s="30" t="s">
        <v>69</v>
      </c>
      <c r="C63" s="31"/>
      <c r="D63" s="31"/>
      <c r="E63" s="32">
        <f>E57+E62</f>
        <v>1385.62</v>
      </c>
      <c r="F63" s="32">
        <f t="shared" ref="F63:Y63" si="39">F57+F62</f>
        <v>1530.4604272756906</v>
      </c>
      <c r="G63" s="32">
        <f t="shared" si="39"/>
        <v>144.84042727569056</v>
      </c>
      <c r="H63" s="32">
        <f t="shared" si="39"/>
        <v>2066.4499999999998</v>
      </c>
      <c r="I63" s="32">
        <f t="shared" si="39"/>
        <v>986.97291353542118</v>
      </c>
      <c r="J63" s="32">
        <f t="shared" si="39"/>
        <v>-1079.4770864645789</v>
      </c>
      <c r="K63" s="32">
        <f t="shared" si="39"/>
        <v>4201.3449999999993</v>
      </c>
      <c r="L63" s="32">
        <f t="shared" si="39"/>
        <v>6990.664392112436</v>
      </c>
      <c r="M63" s="32">
        <f t="shared" si="39"/>
        <v>2789.3193921124353</v>
      </c>
      <c r="N63" s="32">
        <f t="shared" si="39"/>
        <v>0</v>
      </c>
      <c r="O63" s="32">
        <f t="shared" si="39"/>
        <v>0</v>
      </c>
      <c r="P63" s="32">
        <f t="shared" si="39"/>
        <v>0</v>
      </c>
      <c r="Q63" s="32">
        <f t="shared" si="39"/>
        <v>0</v>
      </c>
      <c r="R63" s="32">
        <f t="shared" si="39"/>
        <v>0</v>
      </c>
      <c r="S63" s="32">
        <f t="shared" si="39"/>
        <v>0</v>
      </c>
      <c r="T63" s="32">
        <f t="shared" si="39"/>
        <v>0</v>
      </c>
      <c r="U63" s="32">
        <f t="shared" si="39"/>
        <v>0</v>
      </c>
      <c r="V63" s="32">
        <f t="shared" si="39"/>
        <v>0</v>
      </c>
      <c r="W63" s="32">
        <f t="shared" si="39"/>
        <v>6267.7950000000001</v>
      </c>
      <c r="X63" s="32">
        <f t="shared" si="39"/>
        <v>7977.6373056478578</v>
      </c>
      <c r="Y63" s="32">
        <f t="shared" si="39"/>
        <v>1709.8423056478559</v>
      </c>
      <c r="Z63" s="34"/>
    </row>
    <row r="64" spans="1:28" ht="21.75" customHeight="1" x14ac:dyDescent="0.25">
      <c r="B64" s="101" t="s">
        <v>90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2"/>
    </row>
    <row r="65" spans="3:26" x14ac:dyDescent="0.25">
      <c r="N65" s="5"/>
      <c r="O65" s="5"/>
      <c r="P65" s="6"/>
      <c r="Q65" s="5"/>
      <c r="R65" s="5"/>
      <c r="S65" s="6"/>
      <c r="T65" s="5"/>
      <c r="U65" s="5"/>
      <c r="V65" s="6"/>
      <c r="W65" s="6"/>
      <c r="X65" s="6"/>
      <c r="Y65" s="6"/>
      <c r="Z65" s="12"/>
    </row>
    <row r="66" spans="3:26" x14ac:dyDescent="0.25">
      <c r="N66" s="5"/>
      <c r="O66" s="5"/>
      <c r="P66" s="6"/>
      <c r="Q66" s="5"/>
      <c r="R66" s="5"/>
      <c r="S66" s="6"/>
      <c r="T66" s="5"/>
      <c r="U66" s="5"/>
      <c r="V66" s="6"/>
      <c r="W66" s="6"/>
      <c r="X66" s="6"/>
      <c r="Y66" s="6"/>
      <c r="Z66" s="12"/>
    </row>
    <row r="67" spans="3:26" x14ac:dyDescent="0.25">
      <c r="N67" s="5"/>
      <c r="O67" s="5"/>
      <c r="P67" s="6"/>
      <c r="Q67" s="5"/>
      <c r="R67" s="5"/>
      <c r="S67" s="6"/>
      <c r="T67" s="5"/>
      <c r="U67" s="5"/>
      <c r="V67" s="6"/>
      <c r="W67" s="6"/>
      <c r="X67" s="6"/>
      <c r="Y67" s="6"/>
      <c r="Z67" s="12"/>
    </row>
    <row r="68" spans="3:26" x14ac:dyDescent="0.25">
      <c r="N68" s="5"/>
      <c r="O68" s="5"/>
      <c r="P68" s="6"/>
      <c r="Q68" s="5"/>
      <c r="R68" s="5"/>
      <c r="S68" s="6"/>
      <c r="T68" s="5"/>
      <c r="U68" s="5"/>
      <c r="V68" s="6"/>
      <c r="W68" s="6"/>
      <c r="X68" s="6"/>
      <c r="Y68" s="6"/>
      <c r="Z68" s="12"/>
    </row>
    <row r="69" spans="3:26" x14ac:dyDescent="0.25">
      <c r="N69" s="5"/>
      <c r="O69" s="5"/>
      <c r="P69" s="6"/>
      <c r="Q69" s="5"/>
      <c r="R69" s="5"/>
      <c r="S69" s="6"/>
      <c r="T69" s="5"/>
      <c r="U69" s="5"/>
      <c r="V69" s="6"/>
      <c r="W69" s="6"/>
      <c r="X69" s="6"/>
      <c r="Y69" s="6"/>
      <c r="Z69" s="12"/>
    </row>
    <row r="70" spans="3:26" x14ac:dyDescent="0.25">
      <c r="N70" s="5"/>
      <c r="O70" s="5"/>
      <c r="P70" s="6"/>
      <c r="Q70" s="5"/>
      <c r="R70" s="5"/>
      <c r="S70" s="6"/>
      <c r="T70" s="5"/>
      <c r="U70" s="5"/>
      <c r="V70" s="6"/>
      <c r="W70" s="6"/>
      <c r="X70" s="6"/>
      <c r="Y70" s="6"/>
      <c r="Z70" s="12"/>
    </row>
    <row r="71" spans="3:26" x14ac:dyDescent="0.25">
      <c r="N71" s="5"/>
      <c r="O71" s="5"/>
      <c r="P71" s="6"/>
      <c r="Q71" s="5"/>
      <c r="R71" s="5"/>
      <c r="S71" s="6"/>
      <c r="T71" s="5"/>
      <c r="U71" s="5"/>
      <c r="V71" s="6"/>
      <c r="W71" s="6"/>
      <c r="X71" s="6"/>
      <c r="Y71" s="6"/>
      <c r="Z71" s="12"/>
    </row>
    <row r="72" spans="3:26" x14ac:dyDescent="0.25">
      <c r="C72" s="9"/>
      <c r="D72" s="9"/>
      <c r="E72" s="10"/>
      <c r="F72" s="10"/>
      <c r="G72" s="11"/>
      <c r="H72" s="10"/>
      <c r="I72" s="8"/>
      <c r="J72" s="11"/>
      <c r="K72" s="8"/>
      <c r="L72" s="8"/>
      <c r="N72" s="5"/>
      <c r="O72" s="5"/>
      <c r="P72" s="6"/>
      <c r="Q72" s="5"/>
      <c r="R72" s="5"/>
      <c r="S72" s="6"/>
      <c r="T72" s="5"/>
      <c r="U72" s="5"/>
      <c r="V72" s="6"/>
      <c r="W72" s="6"/>
      <c r="X72" s="6"/>
      <c r="Y72" s="6"/>
      <c r="Z72" s="12"/>
    </row>
    <row r="73" spans="3:26" x14ac:dyDescent="0.25">
      <c r="N73" s="5"/>
      <c r="O73" s="5"/>
      <c r="P73" s="6"/>
      <c r="Q73" s="5"/>
      <c r="R73" s="5"/>
      <c r="S73" s="6"/>
      <c r="T73" s="5"/>
      <c r="U73" s="5"/>
      <c r="V73" s="6"/>
      <c r="W73" s="6"/>
      <c r="X73" s="6"/>
      <c r="Y73" s="6"/>
      <c r="Z73" s="12"/>
    </row>
    <row r="74" spans="3:26" x14ac:dyDescent="0.25">
      <c r="N74" s="5"/>
      <c r="O74" s="5"/>
      <c r="P74" s="6"/>
      <c r="Q74" s="5"/>
      <c r="R74" s="5"/>
      <c r="S74" s="6"/>
      <c r="T74" s="5"/>
      <c r="U74" s="5"/>
      <c r="V74" s="6"/>
      <c r="W74" s="6"/>
      <c r="X74" s="6"/>
      <c r="Y74" s="6"/>
      <c r="Z74" s="12"/>
    </row>
    <row r="75" spans="3:26" x14ac:dyDescent="0.25">
      <c r="N75" s="5"/>
      <c r="O75" s="5"/>
      <c r="P75" s="6"/>
      <c r="Q75" s="5"/>
      <c r="R75" s="5"/>
      <c r="S75" s="6"/>
      <c r="T75" s="5"/>
      <c r="U75" s="5"/>
      <c r="V75" s="6"/>
      <c r="W75" s="6"/>
      <c r="X75" s="6"/>
      <c r="Y75" s="6"/>
      <c r="Z75" s="12"/>
    </row>
    <row r="76" spans="3:26" x14ac:dyDescent="0.25">
      <c r="N76" s="5"/>
      <c r="O76" s="5"/>
      <c r="P76" s="6"/>
      <c r="Q76" s="5"/>
      <c r="R76" s="5"/>
      <c r="S76" s="6"/>
      <c r="T76" s="5"/>
      <c r="U76" s="5"/>
      <c r="V76" s="6"/>
      <c r="W76" s="6"/>
      <c r="X76" s="6"/>
      <c r="Y76" s="6"/>
      <c r="Z76" s="12"/>
    </row>
    <row r="77" spans="3:26" x14ac:dyDescent="0.25">
      <c r="N77" s="5"/>
      <c r="O77" s="5"/>
      <c r="P77" s="6"/>
      <c r="Q77" s="5"/>
      <c r="R77" s="5"/>
      <c r="S77" s="6"/>
      <c r="T77" s="5"/>
      <c r="U77" s="5"/>
      <c r="V77" s="6"/>
      <c r="W77" s="6"/>
      <c r="X77" s="6"/>
      <c r="Y77" s="6"/>
      <c r="Z77" s="12"/>
    </row>
    <row r="78" spans="3:26" x14ac:dyDescent="0.25">
      <c r="N78" s="5"/>
      <c r="O78" s="5"/>
      <c r="P78" s="6"/>
      <c r="Q78" s="5"/>
      <c r="R78" s="5"/>
      <c r="S78" s="6"/>
      <c r="T78" s="5"/>
      <c r="U78" s="5"/>
      <c r="V78" s="6"/>
      <c r="W78" s="6"/>
      <c r="X78" s="6"/>
      <c r="Y78" s="6"/>
      <c r="Z78" s="12"/>
    </row>
    <row r="79" spans="3:26" x14ac:dyDescent="0.25">
      <c r="N79" s="5"/>
      <c r="O79" s="5"/>
      <c r="P79" s="6"/>
      <c r="Q79" s="5"/>
      <c r="R79" s="5"/>
      <c r="S79" s="6"/>
      <c r="T79" s="5"/>
      <c r="U79" s="5"/>
      <c r="V79" s="6"/>
      <c r="W79" s="6"/>
      <c r="X79" s="6"/>
      <c r="Y79" s="6"/>
      <c r="Z79" s="12"/>
    </row>
    <row r="80" spans="3:26" x14ac:dyDescent="0.25">
      <c r="N80" s="5"/>
      <c r="O80" s="5"/>
      <c r="P80" s="6"/>
      <c r="Q80" s="5"/>
      <c r="R80" s="5"/>
      <c r="S80" s="6"/>
      <c r="T80" s="5"/>
      <c r="U80" s="5"/>
      <c r="V80" s="6"/>
      <c r="W80" s="6"/>
      <c r="X80" s="6"/>
      <c r="Y80" s="6"/>
      <c r="Z80" s="12"/>
    </row>
    <row r="81" spans="3:26" x14ac:dyDescent="0.25">
      <c r="N81" s="5"/>
      <c r="O81" s="5"/>
      <c r="P81" s="6"/>
      <c r="Q81" s="5"/>
      <c r="R81" s="5"/>
      <c r="S81" s="6"/>
      <c r="T81" s="5"/>
      <c r="U81" s="5"/>
      <c r="V81" s="6"/>
      <c r="W81" s="6"/>
      <c r="X81" s="6"/>
      <c r="Y81" s="6"/>
      <c r="Z81" s="12"/>
    </row>
    <row r="82" spans="3:26" x14ac:dyDescent="0.25">
      <c r="N82" s="5"/>
      <c r="O82" s="5"/>
      <c r="P82" s="6"/>
      <c r="Q82" s="5"/>
      <c r="R82" s="5"/>
      <c r="S82" s="6"/>
      <c r="T82" s="5"/>
      <c r="U82" s="5"/>
      <c r="V82" s="6"/>
      <c r="W82" s="6"/>
      <c r="X82" s="6"/>
      <c r="Y82" s="6"/>
      <c r="Z82" s="12"/>
    </row>
    <row r="83" spans="3:26" x14ac:dyDescent="0.25">
      <c r="N83" s="5"/>
      <c r="O83" s="5"/>
      <c r="P83" s="6"/>
      <c r="Q83" s="5"/>
      <c r="R83" s="5"/>
      <c r="S83" s="6"/>
      <c r="T83" s="5"/>
      <c r="U83" s="5"/>
      <c r="V83" s="6"/>
      <c r="W83" s="6"/>
      <c r="X83" s="6"/>
      <c r="Y83" s="6"/>
      <c r="Z83" s="12"/>
    </row>
    <row r="84" spans="3:26" x14ac:dyDescent="0.25">
      <c r="N84" s="5"/>
      <c r="O84" s="5"/>
      <c r="P84" s="6"/>
      <c r="Q84" s="5"/>
      <c r="R84" s="5"/>
      <c r="S84" s="6"/>
      <c r="T84" s="5"/>
      <c r="U84" s="5"/>
      <c r="V84" s="6"/>
      <c r="W84" s="6"/>
      <c r="X84" s="6"/>
      <c r="Y84" s="6"/>
      <c r="Z84" s="12"/>
    </row>
    <row r="85" spans="3:26" x14ac:dyDescent="0.25">
      <c r="N85" s="5"/>
      <c r="O85" s="5"/>
      <c r="P85" s="6"/>
      <c r="Q85" s="5"/>
      <c r="R85" s="5"/>
      <c r="S85" s="6"/>
      <c r="T85" s="5"/>
      <c r="U85" s="5"/>
      <c r="V85" s="6"/>
      <c r="W85" s="6"/>
      <c r="X85" s="6"/>
      <c r="Y85" s="6"/>
      <c r="Z85" s="12"/>
    </row>
    <row r="86" spans="3:26" x14ac:dyDescent="0.25">
      <c r="N86" s="5"/>
      <c r="O86" s="5"/>
      <c r="P86" s="6"/>
      <c r="Q86" s="5"/>
      <c r="R86" s="5"/>
      <c r="S86" s="6"/>
      <c r="T86" s="5"/>
      <c r="U86" s="5"/>
      <c r="V86" s="6"/>
      <c r="W86" s="6"/>
      <c r="X86" s="6"/>
      <c r="Y86" s="6"/>
      <c r="Z86" s="12"/>
    </row>
    <row r="87" spans="3:26" x14ac:dyDescent="0.25">
      <c r="N87" s="5"/>
      <c r="O87" s="5"/>
      <c r="P87" s="6"/>
      <c r="Q87" s="5"/>
      <c r="R87" s="5"/>
      <c r="S87" s="6"/>
      <c r="T87" s="5"/>
      <c r="U87" s="5"/>
      <c r="V87" s="6"/>
      <c r="W87" s="6"/>
      <c r="X87" s="6"/>
      <c r="Y87" s="6"/>
      <c r="Z87" s="12"/>
    </row>
    <row r="88" spans="3:26" x14ac:dyDescent="0.25">
      <c r="N88" s="5"/>
      <c r="O88" s="5"/>
      <c r="P88" s="6"/>
      <c r="Q88" s="5"/>
      <c r="R88" s="5"/>
      <c r="S88" s="6"/>
      <c r="T88" s="5"/>
      <c r="U88" s="5"/>
      <c r="V88" s="6"/>
      <c r="W88" s="6"/>
      <c r="X88" s="6"/>
      <c r="Y88" s="6"/>
      <c r="Z88" s="12"/>
    </row>
    <row r="89" spans="3:26" x14ac:dyDescent="0.25">
      <c r="N89" s="5"/>
      <c r="O89" s="5"/>
      <c r="P89" s="6"/>
      <c r="Q89" s="5"/>
      <c r="R89" s="5"/>
      <c r="S89" s="6"/>
      <c r="T89" s="5"/>
      <c r="U89" s="5"/>
      <c r="V89" s="6"/>
      <c r="W89" s="6"/>
      <c r="X89" s="6"/>
      <c r="Y89" s="6"/>
      <c r="Z89" s="12"/>
    </row>
    <row r="90" spans="3:26" x14ac:dyDescent="0.25">
      <c r="C90" s="9"/>
      <c r="D90" s="9"/>
      <c r="E90" s="10"/>
      <c r="F90" s="10"/>
      <c r="G90" s="11"/>
      <c r="H90" s="10"/>
      <c r="I90" s="8"/>
      <c r="J90" s="11"/>
      <c r="K90" s="8"/>
      <c r="L90" s="8"/>
      <c r="M90" s="11"/>
      <c r="N90" s="8"/>
      <c r="O90" s="8"/>
      <c r="P90" s="11"/>
      <c r="Q90" s="8"/>
      <c r="R90" s="8"/>
      <c r="S90" s="11"/>
      <c r="T90" s="8"/>
      <c r="U90" s="8"/>
      <c r="V90" s="11"/>
      <c r="W90" s="6"/>
      <c r="X90" s="6"/>
      <c r="Y90" s="6"/>
      <c r="Z90" s="10"/>
    </row>
    <row r="91" spans="3:26" x14ac:dyDescent="0.25">
      <c r="C91" s="9"/>
      <c r="D91" s="9"/>
      <c r="E91" s="10"/>
      <c r="F91" s="10"/>
      <c r="G91" s="11"/>
      <c r="H91" s="10"/>
      <c r="I91" s="8"/>
      <c r="J91" s="11"/>
      <c r="K91" s="8"/>
      <c r="L91" s="8"/>
      <c r="M91" s="11"/>
      <c r="N91" s="8"/>
      <c r="O91" s="8"/>
      <c r="P91" s="11"/>
      <c r="Q91" s="8"/>
      <c r="R91" s="8"/>
      <c r="S91" s="11"/>
      <c r="T91" s="8"/>
      <c r="U91" s="8"/>
      <c r="V91" s="11"/>
      <c r="W91" s="6"/>
      <c r="X91" s="6"/>
      <c r="Y91" s="6"/>
      <c r="Z91" s="10"/>
    </row>
    <row r="92" spans="3:26" x14ac:dyDescent="0.25">
      <c r="N92" s="5"/>
      <c r="O92" s="5"/>
      <c r="P92" s="6"/>
      <c r="Q92" s="5"/>
      <c r="R92" s="5"/>
      <c r="S92" s="6"/>
      <c r="T92" s="5"/>
      <c r="U92" s="5"/>
      <c r="V92" s="6"/>
      <c r="W92" s="6"/>
      <c r="X92" s="6"/>
      <c r="Y92" s="6"/>
      <c r="Z92" s="12"/>
    </row>
    <row r="93" spans="3:26" x14ac:dyDescent="0.25">
      <c r="N93" s="5"/>
      <c r="O93" s="5"/>
      <c r="P93" s="6"/>
      <c r="Q93" s="5"/>
      <c r="R93" s="5"/>
      <c r="S93" s="6"/>
      <c r="T93" s="5"/>
      <c r="U93" s="5"/>
      <c r="V93" s="6"/>
      <c r="W93" s="6"/>
      <c r="X93" s="6"/>
      <c r="Y93" s="6"/>
      <c r="Z93" s="12"/>
    </row>
    <row r="94" spans="3:26" x14ac:dyDescent="0.25">
      <c r="N94" s="5"/>
      <c r="O94" s="5"/>
      <c r="P94" s="6"/>
      <c r="Q94" s="5"/>
      <c r="R94" s="5"/>
      <c r="S94" s="6"/>
      <c r="T94" s="5"/>
      <c r="U94" s="5"/>
      <c r="V94" s="6"/>
      <c r="W94" s="6"/>
      <c r="X94" s="6"/>
      <c r="Y94" s="6"/>
      <c r="Z94" s="12"/>
    </row>
    <row r="95" spans="3:26" x14ac:dyDescent="0.25">
      <c r="N95" s="5"/>
      <c r="O95" s="5"/>
      <c r="P95" s="6"/>
      <c r="Q95" s="5"/>
      <c r="R95" s="5"/>
      <c r="S95" s="6"/>
      <c r="T95" s="5"/>
      <c r="U95" s="5"/>
      <c r="V95" s="6"/>
      <c r="W95" s="6"/>
      <c r="X95" s="6"/>
      <c r="Y95" s="6"/>
      <c r="Z95" s="12"/>
    </row>
    <row r="96" spans="3:26" x14ac:dyDescent="0.25">
      <c r="N96" s="5"/>
      <c r="O96" s="5"/>
      <c r="P96" s="6"/>
      <c r="Q96" s="5"/>
      <c r="R96" s="5"/>
      <c r="S96" s="6"/>
      <c r="T96" s="5"/>
      <c r="U96" s="5"/>
      <c r="V96" s="6"/>
      <c r="W96" s="6"/>
      <c r="X96" s="6"/>
      <c r="Y96" s="6"/>
      <c r="Z96" s="12"/>
    </row>
    <row r="97" spans="14:26" x14ac:dyDescent="0.25">
      <c r="N97" s="5"/>
      <c r="O97" s="5"/>
      <c r="P97" s="6"/>
      <c r="Q97" s="5"/>
      <c r="R97" s="5"/>
      <c r="S97" s="6"/>
      <c r="T97" s="5"/>
      <c r="U97" s="5"/>
      <c r="V97" s="6"/>
      <c r="W97" s="6"/>
      <c r="X97" s="6"/>
      <c r="Y97" s="6"/>
      <c r="Z97" s="12"/>
    </row>
    <row r="98" spans="14:26" x14ac:dyDescent="0.25">
      <c r="N98" s="5"/>
      <c r="O98" s="5"/>
      <c r="P98" s="6"/>
      <c r="Q98" s="5"/>
      <c r="R98" s="5"/>
      <c r="S98" s="6"/>
      <c r="T98" s="5"/>
      <c r="U98" s="5"/>
      <c r="V98" s="6"/>
      <c r="W98" s="6"/>
      <c r="X98" s="6"/>
      <c r="Y98" s="6"/>
      <c r="Z98" s="12"/>
    </row>
    <row r="99" spans="14:26" x14ac:dyDescent="0.25">
      <c r="N99" s="5"/>
      <c r="O99" s="5"/>
      <c r="P99" s="6"/>
      <c r="Q99" s="5"/>
      <c r="R99" s="5"/>
      <c r="S99" s="6"/>
      <c r="T99" s="5"/>
      <c r="U99" s="5"/>
      <c r="V99" s="6"/>
      <c r="W99" s="6"/>
      <c r="X99" s="6"/>
      <c r="Y99" s="6"/>
      <c r="Z99" s="12"/>
    </row>
    <row r="100" spans="14:26" x14ac:dyDescent="0.25">
      <c r="W100" s="6"/>
      <c r="X100" s="6"/>
      <c r="Y100" s="6"/>
    </row>
    <row r="101" spans="14:26" x14ac:dyDescent="0.25">
      <c r="N101" s="5"/>
      <c r="O101" s="5"/>
      <c r="P101" s="6"/>
      <c r="Q101" s="5"/>
      <c r="R101" s="5"/>
      <c r="S101" s="6"/>
      <c r="T101" s="5"/>
      <c r="U101" s="5"/>
      <c r="V101" s="6"/>
      <c r="W101" s="6"/>
      <c r="X101" s="6"/>
      <c r="Y101" s="6"/>
      <c r="Z101" s="10"/>
    </row>
    <row r="102" spans="14:26" x14ac:dyDescent="0.25">
      <c r="W102" s="6"/>
      <c r="X102" s="6"/>
      <c r="Y102" s="6"/>
      <c r="Z102" s="12"/>
    </row>
  </sheetData>
  <mergeCells count="40">
    <mergeCell ref="A1:Y1"/>
    <mergeCell ref="A2:A4"/>
    <mergeCell ref="F3:F4"/>
    <mergeCell ref="G3:G4"/>
    <mergeCell ref="H3:J3"/>
    <mergeCell ref="K3:M3"/>
    <mergeCell ref="N3:P3"/>
    <mergeCell ref="B2:B4"/>
    <mergeCell ref="Q3:S3"/>
    <mergeCell ref="T3:V3"/>
    <mergeCell ref="W3:Y3"/>
    <mergeCell ref="C2:C4"/>
    <mergeCell ref="B64:Y64"/>
    <mergeCell ref="D2:D4"/>
    <mergeCell ref="E2:G2"/>
    <mergeCell ref="H2:Y2"/>
    <mergeCell ref="E3:E4"/>
    <mergeCell ref="L35:L36"/>
    <mergeCell ref="F35:F36"/>
    <mergeCell ref="C35:C36"/>
    <mergeCell ref="D35:D36"/>
    <mergeCell ref="E35:E36"/>
    <mergeCell ref="G35:G36"/>
    <mergeCell ref="H35:H36"/>
    <mergeCell ref="I35:I36"/>
    <mergeCell ref="J35:J36"/>
    <mergeCell ref="K35:K36"/>
    <mergeCell ref="M35:M36"/>
    <mergeCell ref="N35:N36"/>
    <mergeCell ref="O35:O36"/>
    <mergeCell ref="P35:P36"/>
    <mergeCell ref="Q35:Q36"/>
    <mergeCell ref="R35:R36"/>
    <mergeCell ref="X35:X36"/>
    <mergeCell ref="Y35:Y36"/>
    <mergeCell ref="S35:S36"/>
    <mergeCell ref="T35:T36"/>
    <mergeCell ref="U35:U36"/>
    <mergeCell ref="V35:V36"/>
    <mergeCell ref="W35:W36"/>
  </mergeCells>
  <printOptions horizontalCentered="1"/>
  <pageMargins left="0.59055118110236227" right="0.39370078740157483" top="0.39370078740157483" bottom="0.39370078740157483" header="0" footer="0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Y100"/>
  <sheetViews>
    <sheetView tabSelected="1" view="pageBreakPreview" topLeftCell="C61" zoomScaleSheetLayoutView="100" workbookViewId="0">
      <selection activeCell="K74" sqref="K74:L74"/>
    </sheetView>
  </sheetViews>
  <sheetFormatPr defaultRowHeight="12.75" x14ac:dyDescent="0.25"/>
  <cols>
    <col min="1" max="1" width="3.7109375" style="1" customWidth="1"/>
    <col min="2" max="2" width="33.28515625" style="20" customWidth="1"/>
    <col min="3" max="3" width="9.28515625" style="1" customWidth="1"/>
    <col min="4" max="4" width="8.42578125" style="1" customWidth="1"/>
    <col min="5" max="6" width="7.5703125" style="12" bestFit="1" customWidth="1"/>
    <col min="7" max="7" width="9.42578125" style="13" bestFit="1" customWidth="1"/>
    <col min="8" max="8" width="7.5703125" style="12" bestFit="1" customWidth="1"/>
    <col min="9" max="9" width="8.5703125" style="5" bestFit="1" customWidth="1"/>
    <col min="10" max="10" width="9.140625" style="6" bestFit="1" customWidth="1"/>
    <col min="11" max="12" width="8.5703125" style="5" bestFit="1" customWidth="1"/>
    <col min="13" max="13" width="9.140625" style="6" bestFit="1" customWidth="1"/>
    <col min="14" max="14" width="6.42578125" style="4" customWidth="1"/>
    <col min="15" max="15" width="7.5703125" style="4" customWidth="1"/>
    <col min="16" max="16" width="9.140625" style="75" bestFit="1" customWidth="1"/>
    <col min="17" max="17" width="6.28515625" style="4" customWidth="1"/>
    <col min="18" max="18" width="6.7109375" style="4" bestFit="1" customWidth="1"/>
    <col min="19" max="19" width="9.140625" style="75" bestFit="1" customWidth="1"/>
    <col min="20" max="20" width="7.28515625" style="4" customWidth="1"/>
    <col min="21" max="21" width="6.7109375" style="4" bestFit="1" customWidth="1"/>
    <col min="22" max="22" width="9.140625" style="75" bestFit="1" customWidth="1"/>
    <col min="23" max="23" width="8.7109375" style="75" bestFit="1" customWidth="1"/>
    <col min="24" max="24" width="8.5703125" style="75" bestFit="1" customWidth="1"/>
    <col min="25" max="25" width="9.140625" style="75" bestFit="1" customWidth="1"/>
    <col min="26" max="16384" width="9.140625" style="1"/>
  </cols>
  <sheetData>
    <row r="1" spans="1:25" s="77" customFormat="1" ht="26.25" customHeight="1" x14ac:dyDescent="0.2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s="77" customFormat="1" ht="16.5" customHeight="1" x14ac:dyDescent="0.25">
      <c r="A2" s="116" t="s">
        <v>70</v>
      </c>
      <c r="B2" s="115" t="s">
        <v>89</v>
      </c>
      <c r="C2" s="116" t="s">
        <v>0</v>
      </c>
      <c r="D2" s="116" t="s">
        <v>94</v>
      </c>
      <c r="E2" s="117" t="s">
        <v>2</v>
      </c>
      <c r="F2" s="117"/>
      <c r="G2" s="117"/>
      <c r="H2" s="116" t="s">
        <v>72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s="77" customFormat="1" ht="26.25" customHeight="1" x14ac:dyDescent="0.25">
      <c r="A3" s="116"/>
      <c r="B3" s="115"/>
      <c r="C3" s="116"/>
      <c r="D3" s="116"/>
      <c r="E3" s="117" t="s">
        <v>3</v>
      </c>
      <c r="F3" s="117" t="s">
        <v>92</v>
      </c>
      <c r="G3" s="117" t="s">
        <v>29</v>
      </c>
      <c r="H3" s="117" t="s">
        <v>4</v>
      </c>
      <c r="I3" s="117"/>
      <c r="J3" s="117"/>
      <c r="K3" s="118" t="s">
        <v>5</v>
      </c>
      <c r="L3" s="118"/>
      <c r="M3" s="118"/>
      <c r="N3" s="119" t="s">
        <v>84</v>
      </c>
      <c r="O3" s="119"/>
      <c r="P3" s="119"/>
      <c r="Q3" s="119" t="s">
        <v>6</v>
      </c>
      <c r="R3" s="119"/>
      <c r="S3" s="119"/>
      <c r="T3" s="119" t="s">
        <v>7</v>
      </c>
      <c r="U3" s="119"/>
      <c r="V3" s="119"/>
      <c r="W3" s="119" t="s">
        <v>8</v>
      </c>
      <c r="X3" s="119"/>
      <c r="Y3" s="119"/>
    </row>
    <row r="4" spans="1:25" s="77" customFormat="1" ht="25.5" x14ac:dyDescent="0.25">
      <c r="A4" s="116"/>
      <c r="B4" s="115"/>
      <c r="C4" s="116"/>
      <c r="D4" s="116"/>
      <c r="E4" s="117"/>
      <c r="F4" s="117"/>
      <c r="G4" s="117"/>
      <c r="H4" s="69" t="s">
        <v>22</v>
      </c>
      <c r="I4" s="70" t="s">
        <v>93</v>
      </c>
      <c r="J4" s="70" t="s">
        <v>73</v>
      </c>
      <c r="K4" s="70" t="s">
        <v>24</v>
      </c>
      <c r="L4" s="70" t="s">
        <v>74</v>
      </c>
      <c r="M4" s="70" t="s">
        <v>75</v>
      </c>
      <c r="N4" s="65" t="s">
        <v>25</v>
      </c>
      <c r="O4" s="65" t="s">
        <v>76</v>
      </c>
      <c r="P4" s="65" t="s">
        <v>77</v>
      </c>
      <c r="Q4" s="65" t="s">
        <v>26</v>
      </c>
      <c r="R4" s="65" t="s">
        <v>78</v>
      </c>
      <c r="S4" s="65" t="s">
        <v>79</v>
      </c>
      <c r="T4" s="65" t="s">
        <v>27</v>
      </c>
      <c r="U4" s="65" t="s">
        <v>80</v>
      </c>
      <c r="V4" s="65" t="s">
        <v>81</v>
      </c>
      <c r="W4" s="65" t="s">
        <v>28</v>
      </c>
      <c r="X4" s="65" t="s">
        <v>82</v>
      </c>
      <c r="Y4" s="65" t="s">
        <v>83</v>
      </c>
    </row>
    <row r="5" spans="1:25" s="24" customFormat="1" ht="15.95" hidden="1" customHeight="1" x14ac:dyDescent="0.25">
      <c r="A5" s="21"/>
      <c r="B5" s="93"/>
      <c r="C5" s="21"/>
      <c r="D5" s="22"/>
      <c r="E5" s="23"/>
      <c r="F5" s="23"/>
      <c r="G5" s="46"/>
      <c r="H5" s="23"/>
      <c r="I5" s="23"/>
      <c r="J5" s="46"/>
      <c r="K5" s="23"/>
      <c r="L5" s="23"/>
      <c r="M5" s="46"/>
      <c r="N5" s="21"/>
      <c r="O5" s="21"/>
      <c r="P5" s="45"/>
      <c r="Q5" s="21"/>
      <c r="R5" s="21"/>
      <c r="S5" s="45"/>
      <c r="T5" s="21"/>
      <c r="U5" s="21"/>
      <c r="V5" s="45"/>
      <c r="W5" s="45"/>
      <c r="X5" s="45"/>
      <c r="Y5" s="45"/>
    </row>
    <row r="6" spans="1:25" ht="15.6" customHeight="1" x14ac:dyDescent="0.25">
      <c r="A6" s="67">
        <v>1</v>
      </c>
      <c r="B6" s="17" t="s">
        <v>30</v>
      </c>
      <c r="C6" s="89">
        <v>420</v>
      </c>
      <c r="D6" s="63">
        <v>0.2334</v>
      </c>
      <c r="E6" s="68">
        <f>'Jan''22'!E6+'Feb''22'!E6+'Mar''22'!E6</f>
        <v>161.18</v>
      </c>
      <c r="F6" s="68">
        <f>'Jan''22'!F6+'Feb''22'!F6+'Mar''22'!F6</f>
        <v>155.56001079999999</v>
      </c>
      <c r="G6" s="69">
        <f>F6-E6</f>
        <v>-5.6199892000000204</v>
      </c>
      <c r="H6" s="68">
        <f>'Jan''22'!H6+'Feb''22'!H6+'Mar''22'!H6</f>
        <v>135.42000000000002</v>
      </c>
      <c r="I6" s="68">
        <f>'Jan''22'!I6+'Feb''22'!I6+'Mar''22'!I6</f>
        <v>130.20693097639997</v>
      </c>
      <c r="J6" s="70">
        <f>I6-H6</f>
        <v>-5.2130690236000419</v>
      </c>
      <c r="K6" s="68">
        <f>'Jan''22'!K6+'Feb''22'!K6+'Mar''22'!K6</f>
        <v>538.34120000000007</v>
      </c>
      <c r="L6" s="68">
        <f>'Jan''22'!L6+'Feb''22'!L6+'Mar''22'!L6</f>
        <v>517.54426577599997</v>
      </c>
      <c r="M6" s="70">
        <f t="shared" ref="M6:M61" si="0">L6-K6</f>
        <v>-20.796934224000097</v>
      </c>
      <c r="N6" s="66">
        <v>0</v>
      </c>
      <c r="O6" s="68">
        <v>0</v>
      </c>
      <c r="P6" s="70">
        <f t="shared" ref="P6:P20" si="1">O6-N6</f>
        <v>0</v>
      </c>
      <c r="Q6" s="66">
        <v>0</v>
      </c>
      <c r="R6" s="68">
        <v>0</v>
      </c>
      <c r="S6" s="70">
        <f t="shared" ref="S6:S20" si="2">R6-Q6</f>
        <v>0</v>
      </c>
      <c r="T6" s="66">
        <v>0</v>
      </c>
      <c r="U6" s="68">
        <v>0</v>
      </c>
      <c r="V6" s="70">
        <f t="shared" ref="V6:V20" si="3">U6-T6</f>
        <v>0</v>
      </c>
      <c r="W6" s="70">
        <f>H6+K6+N6+Q6+T6</f>
        <v>673.76120000000014</v>
      </c>
      <c r="X6" s="70">
        <f>I6+L6+O6+R6+U6</f>
        <v>647.75119675239989</v>
      </c>
      <c r="Y6" s="70">
        <f>X6-W6</f>
        <v>-26.010003247600253</v>
      </c>
    </row>
    <row r="7" spans="1:25" ht="15.6" customHeight="1" x14ac:dyDescent="0.25">
      <c r="A7" s="67">
        <v>2</v>
      </c>
      <c r="B7" s="17" t="s">
        <v>31</v>
      </c>
      <c r="C7" s="89">
        <v>420</v>
      </c>
      <c r="D7" s="63">
        <v>0.2334</v>
      </c>
      <c r="E7" s="68">
        <f>'Jan''22'!E7+'Feb''22'!E7+'Mar''22'!E7</f>
        <v>161.18</v>
      </c>
      <c r="F7" s="68">
        <f>'Jan''22'!F7+'Feb''22'!F7+'Mar''22'!F7</f>
        <v>155.56001079999999</v>
      </c>
      <c r="G7" s="69">
        <f t="shared" ref="G7:G13" si="4">F7-E7</f>
        <v>-5.6199892000000204</v>
      </c>
      <c r="H7" s="68">
        <f>'Jan''22'!H7+'Feb''22'!H7+'Mar''22'!H7</f>
        <v>135.42000000000002</v>
      </c>
      <c r="I7" s="68">
        <f>'Jan''22'!I7+'Feb''22'!I7+'Mar''22'!I7</f>
        <v>130.20693097639997</v>
      </c>
      <c r="J7" s="70">
        <f t="shared" ref="J7:J61" si="5">I7-H7</f>
        <v>-5.2130690236000419</v>
      </c>
      <c r="K7" s="68">
        <f>'Jan''22'!K7+'Feb''22'!K7+'Mar''22'!K7</f>
        <v>538.34120000000007</v>
      </c>
      <c r="L7" s="68">
        <f>'Jan''22'!L7+'Feb''22'!L7+'Mar''22'!L7</f>
        <v>517.54426577599997</v>
      </c>
      <c r="M7" s="70">
        <f t="shared" si="0"/>
        <v>-20.796934224000097</v>
      </c>
      <c r="N7" s="66">
        <v>0</v>
      </c>
      <c r="O7" s="68">
        <v>0</v>
      </c>
      <c r="P7" s="70">
        <f t="shared" si="1"/>
        <v>0</v>
      </c>
      <c r="Q7" s="66">
        <v>0</v>
      </c>
      <c r="R7" s="68">
        <v>0</v>
      </c>
      <c r="S7" s="70">
        <f t="shared" si="2"/>
        <v>0</v>
      </c>
      <c r="T7" s="66">
        <v>0</v>
      </c>
      <c r="U7" s="68">
        <v>0</v>
      </c>
      <c r="V7" s="70">
        <f t="shared" si="3"/>
        <v>0</v>
      </c>
      <c r="W7" s="70">
        <f t="shared" ref="W7:X13" si="6">H7+K7+N7+Q7+T7</f>
        <v>673.76120000000014</v>
      </c>
      <c r="X7" s="70">
        <f t="shared" si="6"/>
        <v>647.75119675239989</v>
      </c>
      <c r="Y7" s="70">
        <f t="shared" ref="Y7:Y13" si="7">X7-W7</f>
        <v>-26.010003247600253</v>
      </c>
    </row>
    <row r="8" spans="1:25" ht="15.6" customHeight="1" x14ac:dyDescent="0.25">
      <c r="A8" s="67">
        <v>3</v>
      </c>
      <c r="B8" s="17" t="s">
        <v>32</v>
      </c>
      <c r="C8" s="89">
        <v>420</v>
      </c>
      <c r="D8" s="63">
        <v>0.2334</v>
      </c>
      <c r="E8" s="68">
        <f>'Jan''22'!E8+'Feb''22'!E8+'Mar''22'!E8</f>
        <v>161.18</v>
      </c>
      <c r="F8" s="68">
        <f>'Jan''22'!F8+'Feb''22'!F8+'Mar''22'!F8</f>
        <v>155.56001079999999</v>
      </c>
      <c r="G8" s="69">
        <f t="shared" si="4"/>
        <v>-5.6199892000000204</v>
      </c>
      <c r="H8" s="68">
        <f>'Jan''22'!H8+'Feb''22'!H8+'Mar''22'!H8</f>
        <v>135.42000000000002</v>
      </c>
      <c r="I8" s="68">
        <f>'Jan''22'!I8+'Feb''22'!I8+'Mar''22'!I8</f>
        <v>130.20693097639997</v>
      </c>
      <c r="J8" s="70">
        <f t="shared" si="5"/>
        <v>-5.2130690236000419</v>
      </c>
      <c r="K8" s="68">
        <f>'Jan''22'!K8+'Feb''22'!K8+'Mar''22'!K8</f>
        <v>538.34120000000007</v>
      </c>
      <c r="L8" s="68">
        <f>'Jan''22'!L8+'Feb''22'!L8+'Mar''22'!L8</f>
        <v>517.54426577599997</v>
      </c>
      <c r="M8" s="70">
        <f t="shared" si="0"/>
        <v>-20.796934224000097</v>
      </c>
      <c r="N8" s="66">
        <v>0</v>
      </c>
      <c r="O8" s="68">
        <v>0</v>
      </c>
      <c r="P8" s="70">
        <f t="shared" si="1"/>
        <v>0</v>
      </c>
      <c r="Q8" s="66">
        <v>0</v>
      </c>
      <c r="R8" s="68">
        <v>0</v>
      </c>
      <c r="S8" s="70">
        <f t="shared" si="2"/>
        <v>0</v>
      </c>
      <c r="T8" s="66">
        <v>0</v>
      </c>
      <c r="U8" s="68">
        <v>0</v>
      </c>
      <c r="V8" s="70">
        <f t="shared" si="3"/>
        <v>0</v>
      </c>
      <c r="W8" s="70">
        <f t="shared" si="6"/>
        <v>673.76120000000014</v>
      </c>
      <c r="X8" s="70">
        <f t="shared" si="6"/>
        <v>647.75119675239989</v>
      </c>
      <c r="Y8" s="70">
        <f t="shared" si="7"/>
        <v>-26.010003247600253</v>
      </c>
    </row>
    <row r="9" spans="1:25" ht="15.6" customHeight="1" x14ac:dyDescent="0.25">
      <c r="A9" s="67">
        <v>4</v>
      </c>
      <c r="B9" s="17" t="s">
        <v>9</v>
      </c>
      <c r="C9" s="89">
        <v>500</v>
      </c>
      <c r="D9" s="44">
        <v>0.2334</v>
      </c>
      <c r="E9" s="68">
        <f>'Jan''22'!E9+'Feb''22'!E9+'Mar''22'!E9</f>
        <v>162.1</v>
      </c>
      <c r="F9" s="68">
        <f>'Jan''22'!F9+'Feb''22'!F9+'Mar''22'!F9</f>
        <v>173.885334</v>
      </c>
      <c r="G9" s="69">
        <f t="shared" si="4"/>
        <v>11.785334000000006</v>
      </c>
      <c r="H9" s="68">
        <f>'Jan''22'!H9+'Feb''22'!H9+'Mar''22'!H9</f>
        <v>166.12500000000003</v>
      </c>
      <c r="I9" s="68">
        <f>'Jan''22'!I9+'Feb''22'!I9+'Mar''22'!I9</f>
        <v>146.43693967499999</v>
      </c>
      <c r="J9" s="70">
        <f t="shared" si="5"/>
        <v>-19.688060325000038</v>
      </c>
      <c r="K9" s="68">
        <f>'Jan''22'!K9+'Feb''22'!K9+'Mar''22'!K9</f>
        <v>510.61500000000001</v>
      </c>
      <c r="L9" s="68">
        <f>'Jan''22'!L9+'Feb''22'!L9+'Mar''22'!L9</f>
        <v>546.70767310919996</v>
      </c>
      <c r="M9" s="70">
        <f t="shared" si="0"/>
        <v>36.09267310919995</v>
      </c>
      <c r="N9" s="66">
        <v>0</v>
      </c>
      <c r="O9" s="68">
        <v>0</v>
      </c>
      <c r="P9" s="70">
        <f t="shared" si="1"/>
        <v>0</v>
      </c>
      <c r="Q9" s="66">
        <v>0</v>
      </c>
      <c r="R9" s="68">
        <v>0</v>
      </c>
      <c r="S9" s="70">
        <f t="shared" si="2"/>
        <v>0</v>
      </c>
      <c r="T9" s="66">
        <v>0</v>
      </c>
      <c r="U9" s="68">
        <v>0</v>
      </c>
      <c r="V9" s="70">
        <f t="shared" si="3"/>
        <v>0</v>
      </c>
      <c r="W9" s="70">
        <f t="shared" si="6"/>
        <v>676.74</v>
      </c>
      <c r="X9" s="70">
        <f t="shared" si="6"/>
        <v>693.14461278419992</v>
      </c>
      <c r="Y9" s="70">
        <f t="shared" si="7"/>
        <v>16.404612784199912</v>
      </c>
    </row>
    <row r="10" spans="1:25" ht="15.6" customHeight="1" x14ac:dyDescent="0.25">
      <c r="A10" s="67">
        <v>5</v>
      </c>
      <c r="B10" s="17" t="s">
        <v>10</v>
      </c>
      <c r="C10" s="89">
        <v>420</v>
      </c>
      <c r="D10" s="44">
        <v>0.2334</v>
      </c>
      <c r="E10" s="68">
        <f>'Jan''22'!E10+'Feb''22'!E10+'Mar''22'!E10</f>
        <v>161.18</v>
      </c>
      <c r="F10" s="68">
        <f>'Jan''22'!F10+'Feb''22'!F10+'Mar''22'!F10</f>
        <v>125.86447434</v>
      </c>
      <c r="G10" s="69">
        <f t="shared" si="4"/>
        <v>-35.315525660000006</v>
      </c>
      <c r="H10" s="68">
        <f>'Jan''22'!H10+'Feb''22'!H10+'Mar''22'!H10</f>
        <v>154.14999999999998</v>
      </c>
      <c r="I10" s="68">
        <f>'Jan''22'!I10+'Feb''22'!I10+'Mar''22'!I10</f>
        <v>-15.260176304999902</v>
      </c>
      <c r="J10" s="70">
        <f t="shared" si="5"/>
        <v>-169.41017630499988</v>
      </c>
      <c r="K10" s="68">
        <f>'Jan''22'!K10+'Feb''22'!K10+'Mar''22'!K10</f>
        <v>622.15480000000002</v>
      </c>
      <c r="L10" s="68">
        <f>'Jan''22'!L10+'Feb''22'!L10+'Mar''22'!L10</f>
        <v>485.47736773319997</v>
      </c>
      <c r="M10" s="70">
        <f t="shared" si="0"/>
        <v>-136.67743226680005</v>
      </c>
      <c r="N10" s="66">
        <v>0</v>
      </c>
      <c r="O10" s="68">
        <v>0</v>
      </c>
      <c r="P10" s="70">
        <f t="shared" si="1"/>
        <v>0</v>
      </c>
      <c r="Q10" s="66">
        <v>0</v>
      </c>
      <c r="R10" s="68">
        <v>0</v>
      </c>
      <c r="S10" s="70">
        <f t="shared" si="2"/>
        <v>0</v>
      </c>
      <c r="T10" s="66">
        <v>0</v>
      </c>
      <c r="U10" s="68">
        <v>0</v>
      </c>
      <c r="V10" s="70">
        <f t="shared" si="3"/>
        <v>0</v>
      </c>
      <c r="W10" s="70">
        <f t="shared" si="6"/>
        <v>776.3048</v>
      </c>
      <c r="X10" s="70">
        <f t="shared" si="6"/>
        <v>470.21719142820007</v>
      </c>
      <c r="Y10" s="70">
        <f t="shared" si="7"/>
        <v>-306.08760857179993</v>
      </c>
    </row>
    <row r="11" spans="1:25" ht="15.6" customHeight="1" x14ac:dyDescent="0.25">
      <c r="A11" s="67">
        <v>6</v>
      </c>
      <c r="B11" s="17" t="s">
        <v>11</v>
      </c>
      <c r="C11" s="89">
        <v>420</v>
      </c>
      <c r="D11" s="44">
        <v>0.2334</v>
      </c>
      <c r="E11" s="68">
        <f>'Jan''22'!E11+'Feb''22'!E11+'Mar''22'!E11</f>
        <v>161.18</v>
      </c>
      <c r="F11" s="68">
        <f>'Jan''22'!F11+'Feb''22'!F11+'Mar''22'!F11</f>
        <v>78.176699819999996</v>
      </c>
      <c r="G11" s="69">
        <f t="shared" si="4"/>
        <v>-83.003300180000011</v>
      </c>
      <c r="H11" s="68">
        <f>'Jan''22'!H11+'Feb''22'!H11+'Mar''22'!H11</f>
        <v>150.65</v>
      </c>
      <c r="I11" s="68">
        <f>'Jan''22'!I11+'Feb''22'!I11+'Mar''22'!I11</f>
        <v>71.186708250000095</v>
      </c>
      <c r="J11" s="70">
        <f t="shared" si="5"/>
        <v>-79.463291749999911</v>
      </c>
      <c r="K11" s="68">
        <f>'Jan''22'!K11+'Feb''22'!K11+'Mar''22'!K11</f>
        <v>622.15480000000002</v>
      </c>
      <c r="L11" s="68">
        <f>'Jan''22'!L11+'Feb''22'!L11+'Mar''22'!L11</f>
        <v>301.53770275440002</v>
      </c>
      <c r="M11" s="70">
        <f t="shared" si="0"/>
        <v>-320.61709724560001</v>
      </c>
      <c r="N11" s="66">
        <v>0</v>
      </c>
      <c r="O11" s="68">
        <v>0</v>
      </c>
      <c r="P11" s="70">
        <f t="shared" si="1"/>
        <v>0</v>
      </c>
      <c r="Q11" s="66">
        <v>0</v>
      </c>
      <c r="R11" s="68">
        <v>0</v>
      </c>
      <c r="S11" s="70">
        <f t="shared" si="2"/>
        <v>0</v>
      </c>
      <c r="T11" s="66">
        <v>0</v>
      </c>
      <c r="U11" s="68">
        <v>0</v>
      </c>
      <c r="V11" s="70">
        <f t="shared" si="3"/>
        <v>0</v>
      </c>
      <c r="W11" s="70">
        <f t="shared" si="6"/>
        <v>772.8048</v>
      </c>
      <c r="X11" s="70">
        <f t="shared" si="6"/>
        <v>372.72441100440011</v>
      </c>
      <c r="Y11" s="70">
        <f t="shared" si="7"/>
        <v>-400.08038899559989</v>
      </c>
    </row>
    <row r="12" spans="1:25" ht="15.6" customHeight="1" x14ac:dyDescent="0.25">
      <c r="A12" s="67">
        <v>7</v>
      </c>
      <c r="B12" s="17" t="s">
        <v>12</v>
      </c>
      <c r="C12" s="89">
        <v>210</v>
      </c>
      <c r="D12" s="44">
        <v>0.2334</v>
      </c>
      <c r="E12" s="68">
        <f>'Jan''22'!E12+'Feb''22'!E12+'Mar''22'!E12</f>
        <v>80.59</v>
      </c>
      <c r="F12" s="68">
        <f>'Jan''22'!F12+'Feb''22'!F12+'Mar''22'!F12</f>
        <v>74.253712620000002</v>
      </c>
      <c r="G12" s="69">
        <f t="shared" si="4"/>
        <v>-6.3362873800000017</v>
      </c>
      <c r="H12" s="68">
        <f>'Jan''22'!H12+'Feb''22'!H12+'Mar''22'!H12</f>
        <v>98.724999999999994</v>
      </c>
      <c r="I12" s="68">
        <f>'Jan''22'!I12+'Feb''22'!I12+'Mar''22'!I12</f>
        <v>54.88639067999992</v>
      </c>
      <c r="J12" s="70">
        <f t="shared" si="5"/>
        <v>-43.838609320000074</v>
      </c>
      <c r="K12" s="68">
        <f>'Jan''22'!K12+'Feb''22'!K12+'Mar''22'!K12</f>
        <v>311.07740000000001</v>
      </c>
      <c r="L12" s="68">
        <f>'Jan''22'!L12+'Feb''22'!L12+'Mar''22'!L12</f>
        <v>286.4078056614</v>
      </c>
      <c r="M12" s="70">
        <f t="shared" si="0"/>
        <v>-24.669594338600007</v>
      </c>
      <c r="N12" s="66">
        <v>0</v>
      </c>
      <c r="O12" s="68">
        <v>0</v>
      </c>
      <c r="P12" s="70">
        <f t="shared" si="1"/>
        <v>0</v>
      </c>
      <c r="Q12" s="66">
        <v>0</v>
      </c>
      <c r="R12" s="68">
        <v>0</v>
      </c>
      <c r="S12" s="70">
        <f t="shared" si="2"/>
        <v>0</v>
      </c>
      <c r="T12" s="66">
        <v>0</v>
      </c>
      <c r="U12" s="68">
        <v>0</v>
      </c>
      <c r="V12" s="70">
        <f t="shared" si="3"/>
        <v>0</v>
      </c>
      <c r="W12" s="70">
        <f t="shared" si="6"/>
        <v>409.80240000000003</v>
      </c>
      <c r="X12" s="70">
        <f t="shared" si="6"/>
        <v>341.29419634139992</v>
      </c>
      <c r="Y12" s="70">
        <f t="shared" si="7"/>
        <v>-68.50820365860011</v>
      </c>
    </row>
    <row r="13" spans="1:25" ht="15.6" customHeight="1" x14ac:dyDescent="0.25">
      <c r="A13" s="67">
        <v>8</v>
      </c>
      <c r="B13" s="17" t="s">
        <v>13</v>
      </c>
      <c r="C13" s="89">
        <v>600</v>
      </c>
      <c r="D13" s="44">
        <v>0.2334</v>
      </c>
      <c r="E13" s="68">
        <f>'Jan''22'!E13+'Feb''22'!E13+'Mar''22'!E13</f>
        <v>259.14</v>
      </c>
      <c r="F13" s="68">
        <f>'Jan''22'!F13+'Feb''22'!F13+'Mar''22'!F13</f>
        <v>186.56082119999999</v>
      </c>
      <c r="G13" s="70">
        <f t="shared" si="4"/>
        <v>-72.579178799999994</v>
      </c>
      <c r="H13" s="68">
        <f>'Jan''22'!H13+'Feb''22'!H13+'Mar''22'!H13</f>
        <v>448.125</v>
      </c>
      <c r="I13" s="68">
        <f>'Jan''22'!I13+'Feb''22'!I13+'Mar''22'!I13</f>
        <v>83.298002531400016</v>
      </c>
      <c r="J13" s="70">
        <f t="shared" si="5"/>
        <v>-364.82699746859998</v>
      </c>
      <c r="K13" s="68">
        <f>'Jan''22'!K13+'Feb''22'!K13+'Mar''22'!K13</f>
        <v>948.45240000000013</v>
      </c>
      <c r="L13" s="68">
        <f>'Jan''22'!L13+'Feb''22'!L13+'Mar''22'!L13</f>
        <v>682.3613691708</v>
      </c>
      <c r="M13" s="70">
        <f t="shared" si="0"/>
        <v>-266.09103082920012</v>
      </c>
      <c r="N13" s="66">
        <v>0</v>
      </c>
      <c r="O13" s="68">
        <v>0</v>
      </c>
      <c r="P13" s="70">
        <f t="shared" si="1"/>
        <v>0</v>
      </c>
      <c r="Q13" s="66">
        <v>0</v>
      </c>
      <c r="R13" s="68">
        <v>0</v>
      </c>
      <c r="S13" s="70">
        <f t="shared" si="2"/>
        <v>0</v>
      </c>
      <c r="T13" s="66">
        <v>0</v>
      </c>
      <c r="U13" s="68">
        <v>0</v>
      </c>
      <c r="V13" s="70">
        <f t="shared" si="3"/>
        <v>0</v>
      </c>
      <c r="W13" s="70">
        <f t="shared" si="6"/>
        <v>1396.5774000000001</v>
      </c>
      <c r="X13" s="70">
        <f t="shared" si="6"/>
        <v>765.65937170220002</v>
      </c>
      <c r="Y13" s="70">
        <f t="shared" si="7"/>
        <v>-630.91802829780011</v>
      </c>
    </row>
    <row r="14" spans="1:25" s="37" customFormat="1" ht="15.6" customHeight="1" x14ac:dyDescent="0.25">
      <c r="A14" s="2"/>
      <c r="B14" s="35" t="s">
        <v>33</v>
      </c>
      <c r="C14" s="90">
        <f>SUM(C6:C13)</f>
        <v>3410</v>
      </c>
      <c r="D14" s="32"/>
      <c r="E14" s="32">
        <f t="shared" ref="E14:Y14" si="8">SUM(E6:E13)</f>
        <v>1307.73</v>
      </c>
      <c r="F14" s="32">
        <f t="shared" si="8"/>
        <v>1105.4210743799999</v>
      </c>
      <c r="G14" s="32">
        <f t="shared" si="8"/>
        <v>-202.30892562000005</v>
      </c>
      <c r="H14" s="32">
        <f t="shared" si="8"/>
        <v>1424.0350000000001</v>
      </c>
      <c r="I14" s="32">
        <f t="shared" si="8"/>
        <v>731.16865776060013</v>
      </c>
      <c r="J14" s="32">
        <f t="shared" si="8"/>
        <v>-692.86634223939996</v>
      </c>
      <c r="K14" s="32">
        <f t="shared" si="8"/>
        <v>4629.478000000001</v>
      </c>
      <c r="L14" s="32">
        <f t="shared" si="8"/>
        <v>3855.1247157569996</v>
      </c>
      <c r="M14" s="32">
        <f t="shared" si="8"/>
        <v>-774.35328424300053</v>
      </c>
      <c r="N14" s="32">
        <f t="shared" si="8"/>
        <v>0</v>
      </c>
      <c r="O14" s="32">
        <f t="shared" si="8"/>
        <v>0</v>
      </c>
      <c r="P14" s="32">
        <f t="shared" si="8"/>
        <v>0</v>
      </c>
      <c r="Q14" s="32">
        <f t="shared" si="8"/>
        <v>0</v>
      </c>
      <c r="R14" s="32">
        <f t="shared" si="8"/>
        <v>0</v>
      </c>
      <c r="S14" s="32">
        <f t="shared" si="8"/>
        <v>0</v>
      </c>
      <c r="T14" s="32">
        <f t="shared" si="8"/>
        <v>0</v>
      </c>
      <c r="U14" s="32">
        <f t="shared" si="8"/>
        <v>0</v>
      </c>
      <c r="V14" s="32">
        <f t="shared" si="8"/>
        <v>0</v>
      </c>
      <c r="W14" s="32">
        <f t="shared" si="8"/>
        <v>6053.5130000000008</v>
      </c>
      <c r="X14" s="32">
        <f t="shared" si="8"/>
        <v>4586.2933735176002</v>
      </c>
      <c r="Y14" s="32">
        <f t="shared" si="8"/>
        <v>-1467.2196264824008</v>
      </c>
    </row>
    <row r="15" spans="1:25" ht="15.6" customHeight="1" x14ac:dyDescent="0.25">
      <c r="A15" s="67">
        <v>9</v>
      </c>
      <c r="B15" s="17" t="s">
        <v>14</v>
      </c>
      <c r="C15" s="89">
        <v>770</v>
      </c>
      <c r="D15" s="44">
        <v>0.2334</v>
      </c>
      <c r="E15" s="68">
        <f>'Jan''22'!E15+'Feb''22'!E15+'Mar''22'!E15</f>
        <v>43.05</v>
      </c>
      <c r="F15" s="68">
        <f>'Jan''22'!F15+'Feb''22'!F15+'Mar''22'!F15</f>
        <v>45.317632529999997</v>
      </c>
      <c r="G15" s="69">
        <f>F15-E15</f>
        <v>2.2676325300000002</v>
      </c>
      <c r="H15" s="68">
        <f>'Jan''22'!H15+'Feb''22'!H15+'Mar''22'!H15</f>
        <v>130.32500000000002</v>
      </c>
      <c r="I15" s="68">
        <f>'Jan''22'!I15+'Feb''22'!I15+'Mar''22'!I15</f>
        <v>130.33055999999999</v>
      </c>
      <c r="J15" s="70">
        <f t="shared" si="5"/>
        <v>5.5599999999742522E-3</v>
      </c>
      <c r="K15" s="68">
        <f>'Jan''22'!K15+'Feb''22'!K15+'Mar''22'!K15</f>
        <v>0</v>
      </c>
      <c r="L15" s="68">
        <f>'Jan''22'!L15+'Feb''22'!L15+'Mar''22'!L15</f>
        <v>0</v>
      </c>
      <c r="M15" s="70">
        <f t="shared" si="0"/>
        <v>0</v>
      </c>
      <c r="N15" s="66">
        <v>0</v>
      </c>
      <c r="O15" s="68">
        <v>0</v>
      </c>
      <c r="P15" s="70">
        <f t="shared" si="1"/>
        <v>0</v>
      </c>
      <c r="Q15" s="66">
        <v>0</v>
      </c>
      <c r="R15" s="68">
        <v>0</v>
      </c>
      <c r="S15" s="70">
        <f t="shared" si="2"/>
        <v>0</v>
      </c>
      <c r="T15" s="66">
        <v>0</v>
      </c>
      <c r="U15" s="68">
        <v>0</v>
      </c>
      <c r="V15" s="70">
        <f t="shared" si="3"/>
        <v>0</v>
      </c>
      <c r="W15" s="70">
        <f t="shared" ref="W15:X20" si="9">H15+K15+N15+Q15+T15</f>
        <v>130.32500000000002</v>
      </c>
      <c r="X15" s="70">
        <f t="shared" si="9"/>
        <v>130.33055999999999</v>
      </c>
      <c r="Y15" s="70">
        <f t="shared" ref="Y15:Y20" si="10">X15-W15</f>
        <v>5.5599999999742522E-3</v>
      </c>
    </row>
    <row r="16" spans="1:25" ht="15.6" customHeight="1" x14ac:dyDescent="0.25">
      <c r="A16" s="67">
        <v>10</v>
      </c>
      <c r="B16" s="17" t="s">
        <v>15</v>
      </c>
      <c r="C16" s="89">
        <v>90</v>
      </c>
      <c r="D16" s="44">
        <v>0.2334</v>
      </c>
      <c r="E16" s="68">
        <f>'Jan''22'!E16+'Feb''22'!E16+'Mar''22'!E16</f>
        <v>4.3100000000000005</v>
      </c>
      <c r="F16" s="68">
        <f>'Jan''22'!F16+'Feb''22'!F16+'Mar''22'!F16</f>
        <v>21.067775611800002</v>
      </c>
      <c r="G16" s="69">
        <f t="shared" ref="G16:G61" si="11">F16-E16</f>
        <v>16.7577756118</v>
      </c>
      <c r="H16" s="68">
        <f>'Jan''22'!H16+'Feb''22'!H16+'Mar''22'!H16</f>
        <v>14.95</v>
      </c>
      <c r="I16" s="68">
        <f>'Jan''22'!I16+'Feb''22'!I16+'Mar''22'!I16</f>
        <v>14.949270000000002</v>
      </c>
      <c r="J16" s="70">
        <f t="shared" si="5"/>
        <v>-7.2999999999723286E-4</v>
      </c>
      <c r="K16" s="68">
        <f>'Jan''22'!K16+'Feb''22'!K16+'Mar''22'!K16</f>
        <v>0</v>
      </c>
      <c r="L16" s="68">
        <f>'Jan''22'!L16+'Feb''22'!L16+'Mar''22'!L16</f>
        <v>0</v>
      </c>
      <c r="M16" s="70">
        <f t="shared" si="0"/>
        <v>0</v>
      </c>
      <c r="N16" s="66">
        <v>0</v>
      </c>
      <c r="O16" s="68">
        <v>0</v>
      </c>
      <c r="P16" s="70">
        <f t="shared" si="1"/>
        <v>0</v>
      </c>
      <c r="Q16" s="66">
        <v>0</v>
      </c>
      <c r="R16" s="68">
        <v>0</v>
      </c>
      <c r="S16" s="70">
        <f t="shared" si="2"/>
        <v>0</v>
      </c>
      <c r="T16" s="66">
        <v>0</v>
      </c>
      <c r="U16" s="68">
        <v>0</v>
      </c>
      <c r="V16" s="70">
        <f t="shared" si="3"/>
        <v>0</v>
      </c>
      <c r="W16" s="70">
        <f t="shared" si="9"/>
        <v>14.95</v>
      </c>
      <c r="X16" s="70">
        <f t="shared" si="9"/>
        <v>14.949270000000002</v>
      </c>
      <c r="Y16" s="70">
        <f t="shared" si="10"/>
        <v>-7.2999999999723286E-4</v>
      </c>
    </row>
    <row r="17" spans="1:25" ht="15.6" customHeight="1" x14ac:dyDescent="0.25">
      <c r="A17" s="67">
        <v>11</v>
      </c>
      <c r="B17" s="17" t="s">
        <v>16</v>
      </c>
      <c r="C17" s="89">
        <v>50</v>
      </c>
      <c r="D17" s="44">
        <v>0.2334</v>
      </c>
      <c r="E17" s="68">
        <f>'Jan''22'!E17+'Feb''22'!E17+'Mar''22'!E17</f>
        <v>3.92</v>
      </c>
      <c r="F17" s="68">
        <f>'Jan''22'!F17+'Feb''22'!F17+'Mar''22'!F17</f>
        <v>2.2239752399999997</v>
      </c>
      <c r="G17" s="70">
        <f t="shared" si="11"/>
        <v>-1.6960247600000002</v>
      </c>
      <c r="H17" s="68">
        <f>'Jan''22'!H17+'Feb''22'!H17+'Mar''22'!H17</f>
        <v>29.625</v>
      </c>
      <c r="I17" s="68">
        <f>'Jan''22'!I17+'Feb''22'!I17+'Mar''22'!I17</f>
        <v>29.618459999999992</v>
      </c>
      <c r="J17" s="70">
        <f t="shared" si="5"/>
        <v>-6.5400000000082059E-3</v>
      </c>
      <c r="K17" s="68">
        <f>'Jan''22'!K17+'Feb''22'!K17+'Mar''22'!K17</f>
        <v>0</v>
      </c>
      <c r="L17" s="68">
        <f>'Jan''22'!L17+'Feb''22'!L17+'Mar''22'!L17</f>
        <v>0</v>
      </c>
      <c r="M17" s="70">
        <f t="shared" si="0"/>
        <v>0</v>
      </c>
      <c r="N17" s="66">
        <v>0</v>
      </c>
      <c r="O17" s="68">
        <v>0</v>
      </c>
      <c r="P17" s="70">
        <f t="shared" si="1"/>
        <v>0</v>
      </c>
      <c r="Q17" s="66">
        <v>0</v>
      </c>
      <c r="R17" s="68">
        <v>0</v>
      </c>
      <c r="S17" s="70">
        <f t="shared" si="2"/>
        <v>0</v>
      </c>
      <c r="T17" s="66">
        <v>0</v>
      </c>
      <c r="U17" s="68">
        <v>0</v>
      </c>
      <c r="V17" s="70">
        <f t="shared" si="3"/>
        <v>0</v>
      </c>
      <c r="W17" s="70">
        <f t="shared" si="9"/>
        <v>29.625</v>
      </c>
      <c r="X17" s="70">
        <f t="shared" si="9"/>
        <v>29.618459999999992</v>
      </c>
      <c r="Y17" s="70">
        <f t="shared" si="10"/>
        <v>-6.5400000000082059E-3</v>
      </c>
    </row>
    <row r="18" spans="1:25" ht="15.6" customHeight="1" x14ac:dyDescent="0.25">
      <c r="A18" s="67">
        <v>12</v>
      </c>
      <c r="B18" s="17" t="s">
        <v>34</v>
      </c>
      <c r="C18" s="89">
        <v>725</v>
      </c>
      <c r="D18" s="44">
        <v>0.2334</v>
      </c>
      <c r="E18" s="68">
        <f>'Jan''22'!E18+'Feb''22'!E18+'Mar''22'!E18</f>
        <v>124.34</v>
      </c>
      <c r="F18" s="68">
        <f>'Jan''22'!F18+'Feb''22'!F18+'Mar''22'!F18</f>
        <v>63.800941000199998</v>
      </c>
      <c r="G18" s="70">
        <f t="shared" si="11"/>
        <v>-60.539058999800005</v>
      </c>
      <c r="H18" s="68">
        <f>'Jan''22'!H18+'Feb''22'!H18+'Mar''22'!H18</f>
        <v>138.67499999999998</v>
      </c>
      <c r="I18" s="68">
        <f>'Jan''22'!I18+'Feb''22'!I18+'Mar''22'!I18</f>
        <v>138.66877499999998</v>
      </c>
      <c r="J18" s="70">
        <f t="shared" si="5"/>
        <v>-6.2250000000005912E-3</v>
      </c>
      <c r="K18" s="68">
        <f>'Jan''22'!K18+'Feb''22'!K18+'Mar''22'!K18</f>
        <v>0</v>
      </c>
      <c r="L18" s="68">
        <f>'Jan''22'!L18+'Feb''22'!L18+'Mar''22'!L18</f>
        <v>0</v>
      </c>
      <c r="M18" s="70">
        <f t="shared" si="0"/>
        <v>0</v>
      </c>
      <c r="N18" s="66">
        <v>0</v>
      </c>
      <c r="O18" s="68">
        <v>0</v>
      </c>
      <c r="P18" s="70">
        <f t="shared" si="1"/>
        <v>0</v>
      </c>
      <c r="Q18" s="66">
        <v>0</v>
      </c>
      <c r="R18" s="68">
        <v>0</v>
      </c>
      <c r="S18" s="70">
        <f t="shared" si="2"/>
        <v>0</v>
      </c>
      <c r="T18" s="66">
        <v>0</v>
      </c>
      <c r="U18" s="68">
        <v>0</v>
      </c>
      <c r="V18" s="70">
        <f t="shared" si="3"/>
        <v>0</v>
      </c>
      <c r="W18" s="70">
        <f t="shared" si="9"/>
        <v>138.67499999999998</v>
      </c>
      <c r="X18" s="70">
        <f t="shared" si="9"/>
        <v>138.66877499999998</v>
      </c>
      <c r="Y18" s="70">
        <f t="shared" si="10"/>
        <v>-6.2250000000005912E-3</v>
      </c>
    </row>
    <row r="19" spans="1:25" ht="15.6" customHeight="1" x14ac:dyDescent="0.25">
      <c r="A19" s="67">
        <v>13</v>
      </c>
      <c r="B19" s="17" t="s">
        <v>17</v>
      </c>
      <c r="C19" s="89">
        <v>20</v>
      </c>
      <c r="D19" s="44">
        <v>0.2334</v>
      </c>
      <c r="E19" s="68">
        <f>'Jan''22'!E19+'Feb''22'!E19+'Mar''22'!E19</f>
        <v>0.22000000000000003</v>
      </c>
      <c r="F19" s="68">
        <f>'Jan''22'!F19+'Feb''22'!F19+'Mar''22'!F19</f>
        <v>-2.3055252000000002E-2</v>
      </c>
      <c r="G19" s="70">
        <f t="shared" si="11"/>
        <v>-0.24305525200000003</v>
      </c>
      <c r="H19" s="68">
        <f>'Jan''22'!H19+'Feb''22'!H19+'Mar''22'!H19</f>
        <v>7.75</v>
      </c>
      <c r="I19" s="68">
        <f>'Jan''22'!I19+'Feb''22'!I19+'Mar''22'!I19</f>
        <v>7.7488799999999998</v>
      </c>
      <c r="J19" s="70">
        <f t="shared" si="5"/>
        <v>-1.1200000000002319E-3</v>
      </c>
      <c r="K19" s="68">
        <f>'Jan''22'!K19+'Feb''22'!K19+'Mar''22'!K19</f>
        <v>0</v>
      </c>
      <c r="L19" s="68">
        <f>'Jan''22'!L19+'Feb''22'!L19+'Mar''22'!L19</f>
        <v>0</v>
      </c>
      <c r="M19" s="70">
        <f t="shared" si="0"/>
        <v>0</v>
      </c>
      <c r="N19" s="66">
        <v>0</v>
      </c>
      <c r="O19" s="68">
        <v>0</v>
      </c>
      <c r="P19" s="70">
        <f t="shared" si="1"/>
        <v>0</v>
      </c>
      <c r="Q19" s="66">
        <v>0</v>
      </c>
      <c r="R19" s="68">
        <v>0</v>
      </c>
      <c r="S19" s="70">
        <f t="shared" si="2"/>
        <v>0</v>
      </c>
      <c r="T19" s="66">
        <v>0</v>
      </c>
      <c r="U19" s="68">
        <v>0</v>
      </c>
      <c r="V19" s="70">
        <f t="shared" si="3"/>
        <v>0</v>
      </c>
      <c r="W19" s="70">
        <f t="shared" si="9"/>
        <v>7.75</v>
      </c>
      <c r="X19" s="70">
        <f t="shared" si="9"/>
        <v>7.7488799999999998</v>
      </c>
      <c r="Y19" s="70">
        <f t="shared" si="10"/>
        <v>-1.1200000000002319E-3</v>
      </c>
    </row>
    <row r="20" spans="1:25" ht="15.6" customHeight="1" x14ac:dyDescent="0.25">
      <c r="A20" s="67">
        <v>14</v>
      </c>
      <c r="B20" s="17" t="s">
        <v>18</v>
      </c>
      <c r="C20" s="89">
        <v>1</v>
      </c>
      <c r="D20" s="44">
        <v>0.2334</v>
      </c>
      <c r="E20" s="68">
        <f>'Jan''22'!E20+'Feb''22'!E20+'Mar''22'!E20</f>
        <v>0.25</v>
      </c>
      <c r="F20" s="68">
        <f>'Jan''22'!F20+'Feb''22'!F20+'Mar''22'!F20</f>
        <v>0.22783340999999999</v>
      </c>
      <c r="G20" s="70">
        <f t="shared" si="11"/>
        <v>-2.2166590000000014E-2</v>
      </c>
      <c r="H20" s="68">
        <f>'Jan''22'!H20+'Feb''22'!H20+'Mar''22'!H20</f>
        <v>1.0249999999999999</v>
      </c>
      <c r="I20" s="68">
        <f>'Jan''22'!I20+'Feb''22'!I20+'Mar''22'!I20</f>
        <v>1.0269600000000001</v>
      </c>
      <c r="J20" s="70">
        <f t="shared" si="5"/>
        <v>1.9600000000001838E-3</v>
      </c>
      <c r="K20" s="68">
        <f>'Jan''22'!K20+'Feb''22'!K20+'Mar''22'!K20</f>
        <v>0</v>
      </c>
      <c r="L20" s="68">
        <f>'Jan''22'!L20+'Feb''22'!L20+'Mar''22'!L20</f>
        <v>0</v>
      </c>
      <c r="M20" s="70">
        <f t="shared" si="0"/>
        <v>0</v>
      </c>
      <c r="N20" s="66">
        <v>0</v>
      </c>
      <c r="O20" s="68">
        <v>0</v>
      </c>
      <c r="P20" s="70">
        <f t="shared" si="1"/>
        <v>0</v>
      </c>
      <c r="Q20" s="66">
        <v>0</v>
      </c>
      <c r="R20" s="68">
        <v>0</v>
      </c>
      <c r="S20" s="70">
        <f t="shared" si="2"/>
        <v>0</v>
      </c>
      <c r="T20" s="66">
        <v>0</v>
      </c>
      <c r="U20" s="68">
        <v>0</v>
      </c>
      <c r="V20" s="70">
        <f t="shared" si="3"/>
        <v>0</v>
      </c>
      <c r="W20" s="70">
        <f t="shared" si="9"/>
        <v>1.0249999999999999</v>
      </c>
      <c r="X20" s="70">
        <f t="shared" si="9"/>
        <v>1.0269600000000001</v>
      </c>
      <c r="Y20" s="70">
        <f t="shared" si="10"/>
        <v>1.9600000000001838E-3</v>
      </c>
    </row>
    <row r="21" spans="1:25" s="37" customFormat="1" ht="15.6" customHeight="1" x14ac:dyDescent="0.25">
      <c r="A21" s="2"/>
      <c r="B21" s="35" t="s">
        <v>35</v>
      </c>
      <c r="C21" s="90">
        <f>SUM(C15:C20)</f>
        <v>1656</v>
      </c>
      <c r="D21" s="32"/>
      <c r="E21" s="32">
        <f t="shared" ref="E21:Y21" si="12">SUM(E15:E20)</f>
        <v>176.09</v>
      </c>
      <c r="F21" s="32">
        <f t="shared" si="12"/>
        <v>132.61510253999998</v>
      </c>
      <c r="G21" s="32">
        <f t="shared" si="12"/>
        <v>-43.474897460000001</v>
      </c>
      <c r="H21" s="32">
        <f t="shared" si="12"/>
        <v>322.34999999999997</v>
      </c>
      <c r="I21" s="32">
        <f t="shared" si="12"/>
        <v>322.34290499999992</v>
      </c>
      <c r="J21" s="32">
        <f t="shared" si="12"/>
        <v>-7.0950000000318258E-3</v>
      </c>
      <c r="K21" s="32">
        <f t="shared" si="12"/>
        <v>0</v>
      </c>
      <c r="L21" s="32">
        <f t="shared" si="12"/>
        <v>0</v>
      </c>
      <c r="M21" s="32">
        <f t="shared" si="12"/>
        <v>0</v>
      </c>
      <c r="N21" s="32">
        <f t="shared" si="12"/>
        <v>0</v>
      </c>
      <c r="O21" s="32">
        <f t="shared" si="12"/>
        <v>0</v>
      </c>
      <c r="P21" s="32">
        <f t="shared" si="12"/>
        <v>0</v>
      </c>
      <c r="Q21" s="32">
        <f t="shared" si="12"/>
        <v>0</v>
      </c>
      <c r="R21" s="32">
        <f t="shared" si="12"/>
        <v>0</v>
      </c>
      <c r="S21" s="32">
        <f t="shared" si="12"/>
        <v>0</v>
      </c>
      <c r="T21" s="32">
        <f t="shared" si="12"/>
        <v>0</v>
      </c>
      <c r="U21" s="32">
        <f t="shared" si="12"/>
        <v>0</v>
      </c>
      <c r="V21" s="32">
        <f t="shared" si="12"/>
        <v>0</v>
      </c>
      <c r="W21" s="32">
        <f t="shared" si="12"/>
        <v>322.34999999999997</v>
      </c>
      <c r="X21" s="32">
        <f t="shared" si="12"/>
        <v>322.34290499999992</v>
      </c>
      <c r="Y21" s="32">
        <f t="shared" si="12"/>
        <v>-7.0950000000318258E-3</v>
      </c>
    </row>
    <row r="22" spans="1:25" s="57" customFormat="1" ht="30.75" customHeight="1" x14ac:dyDescent="0.25">
      <c r="A22" s="58">
        <v>15</v>
      </c>
      <c r="B22" s="41" t="s">
        <v>109</v>
      </c>
      <c r="C22" s="88">
        <v>141.6</v>
      </c>
      <c r="D22" s="62">
        <v>0.2334</v>
      </c>
      <c r="E22" s="60">
        <f>'Jan''22'!E22+'Feb''22'!E22+'Mar''22'!E22</f>
        <v>24.619999999999997</v>
      </c>
      <c r="F22" s="60">
        <f>'Jan''22'!F22+'Feb''22'!F22+'Mar''22'!F22</f>
        <v>35.708472839999999</v>
      </c>
      <c r="G22" s="49">
        <f t="shared" si="11"/>
        <v>11.088472840000001</v>
      </c>
      <c r="H22" s="60">
        <f>'Jan''22'!H22+'Feb''22'!H22+'Mar''22'!H22</f>
        <v>36.074999999999996</v>
      </c>
      <c r="I22" s="60">
        <f>'Jan''22'!I22+'Feb''22'!I22+'Mar''22'!I22</f>
        <v>36.077804999999998</v>
      </c>
      <c r="J22" s="49">
        <f t="shared" si="5"/>
        <v>2.8050000000021669E-3</v>
      </c>
      <c r="K22" s="60">
        <f>'Jan''22'!K22+'Feb''22'!K22+'Mar''22'!K22</f>
        <v>0</v>
      </c>
      <c r="L22" s="60">
        <f>'Jan''22'!L22+'Feb''22'!L22+'Mar''22'!L22</f>
        <v>0</v>
      </c>
      <c r="M22" s="49">
        <f t="shared" si="0"/>
        <v>0</v>
      </c>
      <c r="N22" s="60">
        <v>0</v>
      </c>
      <c r="O22" s="60">
        <f>'Jan''22'!O22+'Feb''22'!O22+'Mar''22'!O22</f>
        <v>0</v>
      </c>
      <c r="P22" s="49">
        <f>O22-N22</f>
        <v>0</v>
      </c>
      <c r="Q22" s="60">
        <v>0</v>
      </c>
      <c r="R22" s="60">
        <f>'Jan''22'!R22+'Feb''22'!R22+'Mar''22'!R22</f>
        <v>0</v>
      </c>
      <c r="S22" s="49">
        <f>R22-Q22</f>
        <v>0</v>
      </c>
      <c r="T22" s="60">
        <v>0</v>
      </c>
      <c r="U22" s="60">
        <f>'Jan''22'!U22+'Feb''22'!U22+'Mar''22'!U22</f>
        <v>0</v>
      </c>
      <c r="V22" s="49">
        <f>U22-T22</f>
        <v>0</v>
      </c>
      <c r="W22" s="49">
        <f>H22+K22+N22+Q22+T22</f>
        <v>36.074999999999996</v>
      </c>
      <c r="X22" s="49">
        <f>I22+L22+O22+R22+U22</f>
        <v>36.077804999999998</v>
      </c>
      <c r="Y22" s="49">
        <f t="shared" ref="Y22:Y61" si="13">X22-W22</f>
        <v>2.8050000000021669E-3</v>
      </c>
    </row>
    <row r="23" spans="1:25" s="37" customFormat="1" ht="15.95" customHeight="1" x14ac:dyDescent="0.25">
      <c r="A23" s="2"/>
      <c r="B23" s="35" t="s">
        <v>36</v>
      </c>
      <c r="C23" s="32">
        <f>C22+C21+C14</f>
        <v>5207.6000000000004</v>
      </c>
      <c r="D23" s="32"/>
      <c r="E23" s="32">
        <f t="shared" ref="E23:Y23" si="14">E22+E21+E14</f>
        <v>1508.44</v>
      </c>
      <c r="F23" s="32">
        <f t="shared" si="14"/>
        <v>1273.7446497599999</v>
      </c>
      <c r="G23" s="32">
        <f t="shared" si="14"/>
        <v>-234.69535024000004</v>
      </c>
      <c r="H23" s="32">
        <f t="shared" si="14"/>
        <v>1782.46</v>
      </c>
      <c r="I23" s="32">
        <f t="shared" si="14"/>
        <v>1089.5893677606</v>
      </c>
      <c r="J23" s="32">
        <f t="shared" si="14"/>
        <v>-692.87063223940004</v>
      </c>
      <c r="K23" s="32">
        <f t="shared" si="14"/>
        <v>4629.478000000001</v>
      </c>
      <c r="L23" s="32">
        <f t="shared" si="14"/>
        <v>3855.1247157569996</v>
      </c>
      <c r="M23" s="32">
        <f t="shared" si="14"/>
        <v>-774.35328424300053</v>
      </c>
      <c r="N23" s="32">
        <f t="shared" si="14"/>
        <v>0</v>
      </c>
      <c r="O23" s="32">
        <f t="shared" si="14"/>
        <v>0</v>
      </c>
      <c r="P23" s="32">
        <f t="shared" si="14"/>
        <v>0</v>
      </c>
      <c r="Q23" s="32">
        <f t="shared" si="14"/>
        <v>0</v>
      </c>
      <c r="R23" s="32">
        <f t="shared" si="14"/>
        <v>0</v>
      </c>
      <c r="S23" s="32">
        <f t="shared" si="14"/>
        <v>0</v>
      </c>
      <c r="T23" s="32">
        <f t="shared" si="14"/>
        <v>0</v>
      </c>
      <c r="U23" s="32">
        <f t="shared" si="14"/>
        <v>0</v>
      </c>
      <c r="V23" s="32">
        <f t="shared" si="14"/>
        <v>0</v>
      </c>
      <c r="W23" s="32">
        <f t="shared" si="14"/>
        <v>6411.938000000001</v>
      </c>
      <c r="X23" s="32">
        <f t="shared" si="14"/>
        <v>4944.7140835176006</v>
      </c>
      <c r="Y23" s="32">
        <f t="shared" si="14"/>
        <v>-1467.2239164824009</v>
      </c>
    </row>
    <row r="24" spans="1:25" ht="15.6" customHeight="1" x14ac:dyDescent="0.25">
      <c r="A24" s="67">
        <v>16</v>
      </c>
      <c r="B24" s="18" t="s">
        <v>37</v>
      </c>
      <c r="C24" s="89">
        <v>2100</v>
      </c>
      <c r="D24" s="81">
        <v>3.2000000000000001E-2</v>
      </c>
      <c r="E24" s="68">
        <f>'Jan''22'!E24+'Feb''22'!E24+'Mar''22'!E24</f>
        <v>114.09</v>
      </c>
      <c r="F24" s="68">
        <f>'Jan''22'!F24+'Feb''22'!F24+'Mar''22'!F24</f>
        <v>117.447328</v>
      </c>
      <c r="G24" s="69">
        <f t="shared" si="11"/>
        <v>3.3573279999999954</v>
      </c>
      <c r="H24" s="68">
        <f>'Jan''22'!H24+'Feb''22'!H24+'Mar''22'!H24</f>
        <v>78.924999999999997</v>
      </c>
      <c r="I24" s="68">
        <f>'Jan''22'!I24+'Feb''22'!I24+'Mar''22'!I24</f>
        <v>86.502932999999999</v>
      </c>
      <c r="J24" s="70">
        <f t="shared" si="5"/>
        <v>7.5779330000000016</v>
      </c>
      <c r="K24" s="68">
        <f>'Jan''22'!K24+'Feb''22'!K24+'Mar''22'!K24</f>
        <v>278.37959999999998</v>
      </c>
      <c r="L24" s="68">
        <f>'Jan''22'!L24+'Feb''22'!L24+'Mar''22'!L24</f>
        <v>347.066461</v>
      </c>
      <c r="M24" s="70">
        <f t="shared" si="0"/>
        <v>68.686861000000022</v>
      </c>
      <c r="N24" s="66">
        <v>0</v>
      </c>
      <c r="O24" s="68">
        <v>0</v>
      </c>
      <c r="P24" s="70">
        <f t="shared" ref="P24:P38" si="15">O24-N24</f>
        <v>0</v>
      </c>
      <c r="Q24" s="66">
        <v>0</v>
      </c>
      <c r="R24" s="68">
        <v>0</v>
      </c>
      <c r="S24" s="70">
        <f t="shared" ref="S24:S38" si="16">R24-Q24</f>
        <v>0</v>
      </c>
      <c r="T24" s="66">
        <v>0</v>
      </c>
      <c r="U24" s="68">
        <v>0</v>
      </c>
      <c r="V24" s="70">
        <f t="shared" ref="V24:V38" si="17">U24-T24</f>
        <v>0</v>
      </c>
      <c r="W24" s="70">
        <f>H24+K24+N24+Q24+T24</f>
        <v>357.30459999999999</v>
      </c>
      <c r="X24" s="70">
        <f>I24+L24+O24+R24+U24</f>
        <v>433.56939399999999</v>
      </c>
      <c r="Y24" s="70">
        <f t="shared" si="13"/>
        <v>76.264793999999995</v>
      </c>
    </row>
    <row r="25" spans="1:25" ht="15.6" customHeight="1" x14ac:dyDescent="0.25">
      <c r="A25" s="67">
        <v>17</v>
      </c>
      <c r="B25" s="18" t="s">
        <v>38</v>
      </c>
      <c r="C25" s="89">
        <v>1000</v>
      </c>
      <c r="D25" s="81">
        <v>0.1076</v>
      </c>
      <c r="E25" s="68">
        <f>'Jan''22'!E25+'Feb''22'!E25+'Mar''22'!E25</f>
        <v>196.2</v>
      </c>
      <c r="F25" s="68">
        <f>'Jan''22'!F25+'Feb''22'!F25+'Mar''22'!F25</f>
        <v>211.722678</v>
      </c>
      <c r="G25" s="69">
        <f t="shared" si="11"/>
        <v>15.522678000000013</v>
      </c>
      <c r="H25" s="68">
        <f>'Jan''22'!H25+'Feb''22'!H25+'Mar''22'!H25</f>
        <v>226.02500000000001</v>
      </c>
      <c r="I25" s="68">
        <f>'Jan''22'!I25+'Feb''22'!I25+'Mar''22'!I25</f>
        <v>189.81129099999998</v>
      </c>
      <c r="J25" s="70">
        <f t="shared" si="5"/>
        <v>-36.213709000000023</v>
      </c>
      <c r="K25" s="68">
        <f>'Jan''22'!K25+'Feb''22'!K25+'Mar''22'!K25</f>
        <v>618.03</v>
      </c>
      <c r="L25" s="68">
        <f>'Jan''22'!L25+'Feb''22'!L25+'Mar''22'!L25</f>
        <v>623.15938599999993</v>
      </c>
      <c r="M25" s="70">
        <f t="shared" si="0"/>
        <v>5.129385999999954</v>
      </c>
      <c r="N25" s="66">
        <v>0</v>
      </c>
      <c r="O25" s="68">
        <v>0</v>
      </c>
      <c r="P25" s="70">
        <f t="shared" si="15"/>
        <v>0</v>
      </c>
      <c r="Q25" s="66">
        <v>0</v>
      </c>
      <c r="R25" s="68">
        <v>0</v>
      </c>
      <c r="S25" s="70">
        <f t="shared" si="16"/>
        <v>0</v>
      </c>
      <c r="T25" s="66">
        <v>0</v>
      </c>
      <c r="U25" s="68">
        <v>0</v>
      </c>
      <c r="V25" s="70">
        <f t="shared" si="17"/>
        <v>0</v>
      </c>
      <c r="W25" s="70">
        <f t="shared" ref="W25:X38" si="18">H25+K25+N25+Q25+T25</f>
        <v>844.05499999999995</v>
      </c>
      <c r="X25" s="70">
        <f t="shared" si="18"/>
        <v>812.97067699999991</v>
      </c>
      <c r="Y25" s="70">
        <f t="shared" si="13"/>
        <v>-31.08432300000004</v>
      </c>
    </row>
    <row r="26" spans="1:25" ht="15.6" customHeight="1" x14ac:dyDescent="0.25">
      <c r="A26" s="67">
        <v>18</v>
      </c>
      <c r="B26" s="18" t="s">
        <v>39</v>
      </c>
      <c r="C26" s="89">
        <v>1000</v>
      </c>
      <c r="D26" s="81">
        <v>4.9000000000000002E-2</v>
      </c>
      <c r="E26" s="68">
        <f>'Jan''22'!E26+'Feb''22'!E26+'Mar''22'!E26</f>
        <v>93.539999999999992</v>
      </c>
      <c r="F26" s="68">
        <f>'Jan''22'!F26+'Feb''22'!F26+'Mar''22'!F26</f>
        <v>92.42747</v>
      </c>
      <c r="G26" s="69">
        <f t="shared" si="11"/>
        <v>-1.1125299999999925</v>
      </c>
      <c r="H26" s="68">
        <f>'Jan''22'!H26+'Feb''22'!H26+'Mar''22'!H26</f>
        <v>125.15</v>
      </c>
      <c r="I26" s="68">
        <f>'Jan''22'!I26+'Feb''22'!I26+'Mar''22'!I26</f>
        <v>133.18016297399998</v>
      </c>
      <c r="J26" s="70">
        <f t="shared" si="5"/>
        <v>8.0301629739999782</v>
      </c>
      <c r="K26" s="68">
        <f>'Jan''22'!K26+'Feb''22'!K26+'Mar''22'!K26</f>
        <v>289.03859999999997</v>
      </c>
      <c r="L26" s="68">
        <f>'Jan''22'!L26+'Feb''22'!L26+'Mar''22'!L26</f>
        <v>280.51794996199999</v>
      </c>
      <c r="M26" s="70">
        <f t="shared" si="0"/>
        <v>-8.5206500379999852</v>
      </c>
      <c r="N26" s="66">
        <v>0</v>
      </c>
      <c r="O26" s="68">
        <v>0</v>
      </c>
      <c r="P26" s="70">
        <f t="shared" si="15"/>
        <v>0</v>
      </c>
      <c r="Q26" s="66">
        <v>0</v>
      </c>
      <c r="R26" s="68">
        <v>0</v>
      </c>
      <c r="S26" s="70">
        <f t="shared" si="16"/>
        <v>0</v>
      </c>
      <c r="T26" s="66">
        <v>0</v>
      </c>
      <c r="U26" s="68">
        <v>0</v>
      </c>
      <c r="V26" s="70">
        <f t="shared" si="17"/>
        <v>0</v>
      </c>
      <c r="W26" s="70">
        <f t="shared" si="18"/>
        <v>414.18859999999995</v>
      </c>
      <c r="X26" s="70">
        <f t="shared" si="18"/>
        <v>413.69811293599997</v>
      </c>
      <c r="Y26" s="70">
        <f t="shared" si="13"/>
        <v>-0.49048706399997855</v>
      </c>
    </row>
    <row r="27" spans="1:25" ht="15.6" customHeight="1" x14ac:dyDescent="0.25">
      <c r="A27" s="67">
        <v>19</v>
      </c>
      <c r="B27" s="18" t="s">
        <v>40</v>
      </c>
      <c r="C27" s="89">
        <v>2000</v>
      </c>
      <c r="D27" s="81">
        <v>2.1000000000000001E-2</v>
      </c>
      <c r="E27" s="68">
        <f>'Jan''22'!E27+'Feb''22'!E27+'Mar''22'!E27</f>
        <v>72.42</v>
      </c>
      <c r="F27" s="68">
        <f>'Jan''22'!F27+'Feb''22'!F27+'Mar''22'!F27</f>
        <v>79.054295999999994</v>
      </c>
      <c r="G27" s="69">
        <f t="shared" si="11"/>
        <v>6.634295999999992</v>
      </c>
      <c r="H27" s="68">
        <f>'Jan''22'!H27+'Feb''22'!H27+'Mar''22'!H27</f>
        <v>53.825000000000003</v>
      </c>
      <c r="I27" s="68">
        <f>'Jan''22'!I27+'Feb''22'!I27+'Mar''22'!I27</f>
        <v>57.123301999999995</v>
      </c>
      <c r="J27" s="70">
        <f t="shared" si="5"/>
        <v>3.2983019999999925</v>
      </c>
      <c r="K27" s="68">
        <f>'Jan''22'!K27+'Feb''22'!K27+'Mar''22'!K27</f>
        <v>143.39160000000001</v>
      </c>
      <c r="L27" s="68">
        <f>'Jan''22'!L27+'Feb''22'!L27+'Mar''22'!L27</f>
        <v>136.70516799999999</v>
      </c>
      <c r="M27" s="70">
        <f t="shared" si="0"/>
        <v>-6.6864320000000248</v>
      </c>
      <c r="N27" s="66">
        <v>0</v>
      </c>
      <c r="O27" s="68">
        <v>0</v>
      </c>
      <c r="P27" s="70">
        <f t="shared" si="15"/>
        <v>0</v>
      </c>
      <c r="Q27" s="66">
        <v>0</v>
      </c>
      <c r="R27" s="68">
        <v>0</v>
      </c>
      <c r="S27" s="70">
        <f t="shared" si="16"/>
        <v>0</v>
      </c>
      <c r="T27" s="66">
        <v>0</v>
      </c>
      <c r="U27" s="68">
        <v>0</v>
      </c>
      <c r="V27" s="70">
        <f t="shared" si="17"/>
        <v>0</v>
      </c>
      <c r="W27" s="70">
        <f t="shared" si="18"/>
        <v>197.21660000000003</v>
      </c>
      <c r="X27" s="70">
        <f t="shared" si="18"/>
        <v>193.82846999999998</v>
      </c>
      <c r="Y27" s="70">
        <f t="shared" si="13"/>
        <v>-3.3881300000000465</v>
      </c>
    </row>
    <row r="28" spans="1:25" ht="15.6" customHeight="1" x14ac:dyDescent="0.25">
      <c r="A28" s="67">
        <v>20</v>
      </c>
      <c r="B28" s="18" t="s">
        <v>41</v>
      </c>
      <c r="C28" s="89">
        <v>500</v>
      </c>
      <c r="D28" s="81">
        <v>3.3700000000000001E-2</v>
      </c>
      <c r="E28" s="68">
        <f>'Jan''22'!E28+'Feb''22'!E28+'Mar''22'!E28</f>
        <v>31.68</v>
      </c>
      <c r="F28" s="68">
        <f>'Jan''22'!F28+'Feb''22'!F28+'Mar''22'!F28</f>
        <v>32.799997999999995</v>
      </c>
      <c r="G28" s="69">
        <f t="shared" si="11"/>
        <v>1.1199979999999954</v>
      </c>
      <c r="H28" s="68">
        <f>'Jan''22'!H28+'Feb''22'!H28+'Mar''22'!H28</f>
        <v>20.024999999999999</v>
      </c>
      <c r="I28" s="68">
        <f>'Jan''22'!I28+'Feb''22'!I28+'Mar''22'!I28</f>
        <v>32.115863999999995</v>
      </c>
      <c r="J28" s="70">
        <f t="shared" si="5"/>
        <v>12.090863999999996</v>
      </c>
      <c r="K28" s="68">
        <f>'Jan''22'!K28+'Feb''22'!K28+'Mar''22'!K28</f>
        <v>76.032000000000011</v>
      </c>
      <c r="L28" s="68">
        <f>'Jan''22'!L28+'Feb''22'!L28+'Mar''22'!L28</f>
        <v>95.206941</v>
      </c>
      <c r="M28" s="70">
        <f t="shared" si="0"/>
        <v>19.17494099999999</v>
      </c>
      <c r="N28" s="66">
        <v>0</v>
      </c>
      <c r="O28" s="68">
        <v>0</v>
      </c>
      <c r="P28" s="70">
        <f t="shared" si="15"/>
        <v>0</v>
      </c>
      <c r="Q28" s="66">
        <v>0</v>
      </c>
      <c r="R28" s="68">
        <v>0</v>
      </c>
      <c r="S28" s="70">
        <f t="shared" si="16"/>
        <v>0</v>
      </c>
      <c r="T28" s="66">
        <v>0</v>
      </c>
      <c r="U28" s="68">
        <v>0</v>
      </c>
      <c r="V28" s="70">
        <f t="shared" si="17"/>
        <v>0</v>
      </c>
      <c r="W28" s="70">
        <f t="shared" si="18"/>
        <v>96.057000000000016</v>
      </c>
      <c r="X28" s="70">
        <f t="shared" si="18"/>
        <v>127.32280499999999</v>
      </c>
      <c r="Y28" s="70">
        <f t="shared" si="13"/>
        <v>31.265804999999972</v>
      </c>
    </row>
    <row r="29" spans="1:25" ht="15.6" customHeight="1" x14ac:dyDescent="0.25">
      <c r="A29" s="67">
        <v>21</v>
      </c>
      <c r="B29" s="18" t="s">
        <v>42</v>
      </c>
      <c r="C29" s="89">
        <v>2400</v>
      </c>
      <c r="D29" s="81">
        <v>2.3800000000000002E-2</v>
      </c>
      <c r="E29" s="68">
        <f>'Jan''22'!E29+'Feb''22'!E29+'Mar''22'!E29</f>
        <v>99.359999999999985</v>
      </c>
      <c r="F29" s="68">
        <f>'Jan''22'!F29+'Feb''22'!F29+'Mar''22'!F29</f>
        <v>97.729341000000005</v>
      </c>
      <c r="G29" s="69">
        <f t="shared" si="11"/>
        <v>-1.6306589999999801</v>
      </c>
      <c r="H29" s="68">
        <f>'Jan''22'!H29+'Feb''22'!H29+'Mar''22'!H29</f>
        <v>132.77500000000001</v>
      </c>
      <c r="I29" s="68">
        <f>'Jan''22'!I29+'Feb''22'!I29+'Mar''22'!I29</f>
        <v>179.09052199999999</v>
      </c>
      <c r="J29" s="70">
        <f t="shared" si="5"/>
        <v>46.315521999999987</v>
      </c>
      <c r="K29" s="68">
        <f>'Jan''22'!K29+'Feb''22'!K29+'Mar''22'!K29</f>
        <v>346.76639999999998</v>
      </c>
      <c r="L29" s="68">
        <f>'Jan''22'!L29+'Feb''22'!L29+'Mar''22'!L29</f>
        <v>414.50073199999997</v>
      </c>
      <c r="M29" s="70">
        <f t="shared" si="0"/>
        <v>67.734331999999995</v>
      </c>
      <c r="N29" s="66">
        <v>0</v>
      </c>
      <c r="O29" s="68">
        <v>0</v>
      </c>
      <c r="P29" s="70">
        <f t="shared" si="15"/>
        <v>0</v>
      </c>
      <c r="Q29" s="66">
        <v>0</v>
      </c>
      <c r="R29" s="68">
        <v>0</v>
      </c>
      <c r="S29" s="70">
        <f t="shared" si="16"/>
        <v>0</v>
      </c>
      <c r="T29" s="66">
        <v>0</v>
      </c>
      <c r="U29" s="68">
        <v>0</v>
      </c>
      <c r="V29" s="70">
        <f t="shared" si="17"/>
        <v>0</v>
      </c>
      <c r="W29" s="70">
        <f t="shared" si="18"/>
        <v>479.54139999999995</v>
      </c>
      <c r="X29" s="70">
        <f t="shared" si="18"/>
        <v>593.59125399999994</v>
      </c>
      <c r="Y29" s="70">
        <f t="shared" si="13"/>
        <v>114.04985399999998</v>
      </c>
    </row>
    <row r="30" spans="1:25" ht="15.6" customHeight="1" x14ac:dyDescent="0.25">
      <c r="A30" s="67">
        <v>22</v>
      </c>
      <c r="B30" s="29" t="s">
        <v>86</v>
      </c>
      <c r="C30" s="89"/>
      <c r="D30" s="81"/>
      <c r="E30" s="68">
        <f>'Jan''22'!E30+'Feb''22'!E30+'Mar''22'!E30</f>
        <v>0</v>
      </c>
      <c r="F30" s="68">
        <f>'Jan''22'!F30+'Feb''22'!F30+'Mar''22'!F30</f>
        <v>0</v>
      </c>
      <c r="G30" s="69">
        <f t="shared" si="11"/>
        <v>0</v>
      </c>
      <c r="H30" s="68">
        <f>'Jan''22'!H30+'Feb''22'!H30+'Mar''22'!H30</f>
        <v>0</v>
      </c>
      <c r="I30" s="68">
        <f>'Jan''22'!I30+'Feb''22'!I30+'Mar''22'!I30</f>
        <v>0</v>
      </c>
      <c r="J30" s="70">
        <f>I30-H30</f>
        <v>0</v>
      </c>
      <c r="K30" s="68">
        <f>'Jan''22'!K30+'Feb''22'!K30+'Mar''22'!K30</f>
        <v>0</v>
      </c>
      <c r="L30" s="68">
        <f>'Jan''22'!L30+'Feb''22'!L30+'Mar''22'!L30</f>
        <v>0</v>
      </c>
      <c r="M30" s="70">
        <f t="shared" si="0"/>
        <v>0</v>
      </c>
      <c r="N30" s="66">
        <v>0</v>
      </c>
      <c r="O30" s="68">
        <v>0</v>
      </c>
      <c r="P30" s="70">
        <f t="shared" si="15"/>
        <v>0</v>
      </c>
      <c r="Q30" s="66">
        <v>0</v>
      </c>
      <c r="R30" s="68">
        <v>0</v>
      </c>
      <c r="S30" s="70">
        <f t="shared" si="16"/>
        <v>0</v>
      </c>
      <c r="T30" s="66">
        <v>0</v>
      </c>
      <c r="U30" s="68">
        <v>0</v>
      </c>
      <c r="V30" s="70">
        <f t="shared" si="17"/>
        <v>0</v>
      </c>
      <c r="W30" s="70">
        <f t="shared" si="18"/>
        <v>0</v>
      </c>
      <c r="X30" s="70">
        <f t="shared" si="18"/>
        <v>0</v>
      </c>
      <c r="Y30" s="70">
        <f t="shared" si="13"/>
        <v>0</v>
      </c>
    </row>
    <row r="31" spans="1:25" ht="15.6" customHeight="1" x14ac:dyDescent="0.25">
      <c r="A31" s="67">
        <v>23</v>
      </c>
      <c r="B31" s="18" t="s">
        <v>43</v>
      </c>
      <c r="C31" s="89">
        <v>1500</v>
      </c>
      <c r="D31" s="81">
        <v>1.34E-2</v>
      </c>
      <c r="E31" s="68">
        <f>'Jan''22'!E31+'Feb''22'!E31+'Mar''22'!E31</f>
        <v>41.45</v>
      </c>
      <c r="F31" s="68">
        <f>'Jan''22'!F31+'Feb''22'!F31+'Mar''22'!F31</f>
        <v>41.126752000000003</v>
      </c>
      <c r="G31" s="69">
        <f t="shared" si="11"/>
        <v>-0.32324799999999954</v>
      </c>
      <c r="H31" s="68">
        <f>'Jan''22'!H31+'Feb''22'!H31+'Mar''22'!H31</f>
        <v>54.124999999999993</v>
      </c>
      <c r="I31" s="68">
        <f>'Jan''22'!I31+'Feb''22'!I31+'Mar''22'!I31</f>
        <v>73.690574999999995</v>
      </c>
      <c r="J31" s="70">
        <f t="shared" si="5"/>
        <v>19.565575000000003</v>
      </c>
      <c r="K31" s="68">
        <f>'Jan''22'!K31+'Feb''22'!K31+'Mar''22'!K31</f>
        <v>141.75900000000001</v>
      </c>
      <c r="L31" s="68">
        <f>'Jan''22'!L31+'Feb''22'!L31+'Mar''22'!L31</f>
        <v>148.865193</v>
      </c>
      <c r="M31" s="70">
        <f t="shared" si="0"/>
        <v>7.1061929999999904</v>
      </c>
      <c r="N31" s="66">
        <v>0</v>
      </c>
      <c r="O31" s="68">
        <v>0</v>
      </c>
      <c r="P31" s="70">
        <f t="shared" si="15"/>
        <v>0</v>
      </c>
      <c r="Q31" s="66">
        <v>0</v>
      </c>
      <c r="R31" s="68">
        <v>0</v>
      </c>
      <c r="S31" s="70">
        <f t="shared" si="16"/>
        <v>0</v>
      </c>
      <c r="T31" s="66">
        <v>0</v>
      </c>
      <c r="U31" s="68">
        <v>0</v>
      </c>
      <c r="V31" s="70">
        <f t="shared" si="17"/>
        <v>0</v>
      </c>
      <c r="W31" s="70">
        <f t="shared" si="18"/>
        <v>195.88400000000001</v>
      </c>
      <c r="X31" s="70">
        <f t="shared" si="18"/>
        <v>222.555768</v>
      </c>
      <c r="Y31" s="70">
        <f t="shared" si="13"/>
        <v>26.671767999999986</v>
      </c>
    </row>
    <row r="32" spans="1:25" ht="15.6" customHeight="1" x14ac:dyDescent="0.25">
      <c r="A32" s="67">
        <v>24</v>
      </c>
      <c r="B32" s="18" t="s">
        <v>44</v>
      </c>
      <c r="C32" s="89">
        <v>630</v>
      </c>
      <c r="D32" s="81">
        <v>1.7299999999999999E-2</v>
      </c>
      <c r="E32" s="68">
        <f>'Jan''22'!E32+'Feb''22'!E32+'Mar''22'!E32</f>
        <v>20.100000000000001</v>
      </c>
      <c r="F32" s="68">
        <f>'Jan''22'!F32+'Feb''22'!F32+'Mar''22'!F32</f>
        <v>21.808568000000001</v>
      </c>
      <c r="G32" s="69">
        <f t="shared" si="11"/>
        <v>1.7085679999999996</v>
      </c>
      <c r="H32" s="68">
        <f>'Jan''22'!H32+'Feb''22'!H32+'Mar''22'!H32</f>
        <v>24.85</v>
      </c>
      <c r="I32" s="68">
        <f>'Jan''22'!I32+'Feb''22'!I32+'Mar''22'!I32</f>
        <v>16.979084408199999</v>
      </c>
      <c r="J32" s="70">
        <f t="shared" si="5"/>
        <v>-7.8709155918000029</v>
      </c>
      <c r="K32" s="68">
        <f>'Jan''22'!K32+'Feb''22'!K32+'Mar''22'!K32</f>
        <v>57.887999999999998</v>
      </c>
      <c r="L32" s="68">
        <f>'Jan''22'!L32+'Feb''22'!L32+'Mar''22'!L32</f>
        <v>58.105929000000003</v>
      </c>
      <c r="M32" s="70">
        <f t="shared" si="0"/>
        <v>0.21792900000000515</v>
      </c>
      <c r="N32" s="66">
        <v>0</v>
      </c>
      <c r="O32" s="68">
        <v>0</v>
      </c>
      <c r="P32" s="70">
        <f t="shared" si="15"/>
        <v>0</v>
      </c>
      <c r="Q32" s="66">
        <v>0</v>
      </c>
      <c r="R32" s="68">
        <v>0</v>
      </c>
      <c r="S32" s="70">
        <f t="shared" si="16"/>
        <v>0</v>
      </c>
      <c r="T32" s="66">
        <v>0</v>
      </c>
      <c r="U32" s="68">
        <v>0</v>
      </c>
      <c r="V32" s="70">
        <f t="shared" si="17"/>
        <v>0</v>
      </c>
      <c r="W32" s="70">
        <f t="shared" si="18"/>
        <v>82.738</v>
      </c>
      <c r="X32" s="70">
        <f t="shared" si="18"/>
        <v>75.085013408199998</v>
      </c>
      <c r="Y32" s="70">
        <f t="shared" si="13"/>
        <v>-7.6529865918000013</v>
      </c>
    </row>
    <row r="33" spans="1:25" ht="15.6" customHeight="1" x14ac:dyDescent="0.25">
      <c r="A33" s="67">
        <v>25</v>
      </c>
      <c r="B33" s="18" t="s">
        <v>45</v>
      </c>
      <c r="C33" s="89">
        <v>840</v>
      </c>
      <c r="D33" s="81">
        <v>2.3800000000000002E-2</v>
      </c>
      <c r="E33" s="68">
        <f>'Jan''22'!E33+'Feb''22'!E33+'Mar''22'!E33</f>
        <v>36.06</v>
      </c>
      <c r="F33" s="68">
        <f>'Jan''22'!F33+'Feb''22'!F33+'Mar''22'!F33</f>
        <v>30.049785</v>
      </c>
      <c r="G33" s="69">
        <f t="shared" si="11"/>
        <v>-6.0102150000000023</v>
      </c>
      <c r="H33" s="68">
        <f>'Jan''22'!H33+'Feb''22'!H33+'Mar''22'!H33</f>
        <v>25.675000000000001</v>
      </c>
      <c r="I33" s="68">
        <f>'Jan''22'!I33+'Feb''22'!I33+'Mar''22'!I33</f>
        <v>22.5421284506</v>
      </c>
      <c r="J33" s="70">
        <f t="shared" si="5"/>
        <v>-3.1328715494000008</v>
      </c>
      <c r="K33" s="68">
        <f>'Jan''22'!K33+'Feb''22'!K33+'Mar''22'!K33</f>
        <v>99.886200000000002</v>
      </c>
      <c r="L33" s="68">
        <f>'Jan''22'!L33+'Feb''22'!L33+'Mar''22'!L33</f>
        <v>79.061057000000005</v>
      </c>
      <c r="M33" s="70">
        <f t="shared" si="0"/>
        <v>-20.825142999999997</v>
      </c>
      <c r="N33" s="66">
        <v>0</v>
      </c>
      <c r="O33" s="68">
        <v>0</v>
      </c>
      <c r="P33" s="70">
        <f t="shared" si="15"/>
        <v>0</v>
      </c>
      <c r="Q33" s="66">
        <v>0</v>
      </c>
      <c r="R33" s="68">
        <v>0</v>
      </c>
      <c r="S33" s="70">
        <f t="shared" si="16"/>
        <v>0</v>
      </c>
      <c r="T33" s="66">
        <v>0</v>
      </c>
      <c r="U33" s="68">
        <v>0</v>
      </c>
      <c r="V33" s="70">
        <f t="shared" si="17"/>
        <v>0</v>
      </c>
      <c r="W33" s="70">
        <f t="shared" si="18"/>
        <v>125.5612</v>
      </c>
      <c r="X33" s="70">
        <f t="shared" si="18"/>
        <v>101.60318545060001</v>
      </c>
      <c r="Y33" s="70">
        <f t="shared" si="13"/>
        <v>-23.958014549399991</v>
      </c>
    </row>
    <row r="34" spans="1:25" ht="15.6" customHeight="1" x14ac:dyDescent="0.25">
      <c r="A34" s="67">
        <v>26</v>
      </c>
      <c r="B34" s="18" t="s">
        <v>19</v>
      </c>
      <c r="C34" s="89">
        <v>440</v>
      </c>
      <c r="D34" s="81">
        <v>9.5999999999999992E-3</v>
      </c>
      <c r="E34" s="68">
        <f>'Jan''22'!E34+'Feb''22'!E34+'Mar''22'!E34</f>
        <v>2.9699999999999998</v>
      </c>
      <c r="F34" s="68">
        <f>'Jan''22'!F34+'Feb''22'!F34+'Mar''22'!F34</f>
        <v>2.9849110548</v>
      </c>
      <c r="G34" s="69">
        <f t="shared" si="11"/>
        <v>1.4911054800000212E-2</v>
      </c>
      <c r="H34" s="68">
        <f>'Jan''22'!H34+'Feb''22'!H34+'Mar''22'!H34</f>
        <v>0</v>
      </c>
      <c r="I34" s="68">
        <f>'Jan''22'!I34+'Feb''22'!I34+'Mar''22'!I34</f>
        <v>0</v>
      </c>
      <c r="J34" s="70">
        <f t="shared" si="5"/>
        <v>0</v>
      </c>
      <c r="K34" s="68">
        <f>'Jan''22'!K34+'Feb''22'!K34+'Mar''22'!K34</f>
        <v>7.7516999999999996</v>
      </c>
      <c r="L34" s="68">
        <f>'Jan''22'!L34+'Feb''22'!L34+'Mar''22'!L34</f>
        <v>8.2232780000000005</v>
      </c>
      <c r="M34" s="70">
        <f t="shared" si="0"/>
        <v>0.47157800000000094</v>
      </c>
      <c r="N34" s="66">
        <v>0</v>
      </c>
      <c r="O34" s="68">
        <v>0</v>
      </c>
      <c r="P34" s="70">
        <f t="shared" si="15"/>
        <v>0</v>
      </c>
      <c r="Q34" s="66">
        <v>0</v>
      </c>
      <c r="R34" s="68">
        <v>0</v>
      </c>
      <c r="S34" s="70">
        <f t="shared" si="16"/>
        <v>0</v>
      </c>
      <c r="T34" s="66">
        <v>0</v>
      </c>
      <c r="U34" s="68">
        <v>0</v>
      </c>
      <c r="V34" s="70">
        <f t="shared" si="17"/>
        <v>0</v>
      </c>
      <c r="W34" s="70">
        <f t="shared" si="18"/>
        <v>7.7516999999999996</v>
      </c>
      <c r="X34" s="70">
        <f t="shared" si="18"/>
        <v>8.2232780000000005</v>
      </c>
      <c r="Y34" s="70">
        <f t="shared" si="13"/>
        <v>0.47157800000000094</v>
      </c>
    </row>
    <row r="35" spans="1:25" ht="15.6" customHeight="1" x14ac:dyDescent="0.25">
      <c r="A35" s="67">
        <v>27</v>
      </c>
      <c r="B35" s="18" t="s">
        <v>46</v>
      </c>
      <c r="C35" s="107">
        <v>880</v>
      </c>
      <c r="D35" s="109">
        <f ca="1">'CPDCL Q4 trueup'!D35</f>
        <v>0</v>
      </c>
      <c r="E35" s="111">
        <f>'Jan''22'!E35:E36+'Feb''22'!E35:E36+'Mar''22'!E35:E36</f>
        <v>47.61</v>
      </c>
      <c r="F35" s="111">
        <f>'Jan''22'!F35:F36+'Feb''22'!F35:F36+'Mar''22'!F35:F36</f>
        <v>53.737585377000002</v>
      </c>
      <c r="G35" s="97">
        <f>F35-E35</f>
        <v>6.1275853770000026</v>
      </c>
      <c r="H35" s="111">
        <f>'Jan''22'!H35:H36+'Feb''22'!H35:H36+'Mar''22'!H35:H36</f>
        <v>0</v>
      </c>
      <c r="I35" s="111">
        <f>'Jan''22'!I35:I36+'Feb''22'!I35:I36+'Mar''22'!I35:I36</f>
        <v>0</v>
      </c>
      <c r="J35" s="97">
        <f t="shared" si="5"/>
        <v>0</v>
      </c>
      <c r="K35" s="111">
        <f>'Jan''22'!K35:K36+'Feb''22'!K35:K36+'Mar''22'!K35:K36</f>
        <v>165.68279999999999</v>
      </c>
      <c r="L35" s="111">
        <f>'Jan''22'!L35:L36+'Feb''22'!L35:L36+'Mar''22'!L35:L36</f>
        <v>192.56476958960002</v>
      </c>
      <c r="M35" s="97">
        <f t="shared" si="0"/>
        <v>26.881969589600033</v>
      </c>
      <c r="N35" s="99">
        <v>0</v>
      </c>
      <c r="O35" s="99">
        <v>0</v>
      </c>
      <c r="P35" s="97">
        <f t="shared" si="15"/>
        <v>0</v>
      </c>
      <c r="Q35" s="99">
        <v>0</v>
      </c>
      <c r="R35" s="99">
        <v>0</v>
      </c>
      <c r="S35" s="97">
        <f t="shared" si="16"/>
        <v>0</v>
      </c>
      <c r="T35" s="99">
        <v>0</v>
      </c>
      <c r="U35" s="99">
        <v>0</v>
      </c>
      <c r="V35" s="97">
        <f t="shared" si="17"/>
        <v>0</v>
      </c>
      <c r="W35" s="97">
        <f t="shared" si="18"/>
        <v>165.68279999999999</v>
      </c>
      <c r="X35" s="97">
        <f t="shared" si="18"/>
        <v>192.56476958960002</v>
      </c>
      <c r="Y35" s="97">
        <f t="shared" si="13"/>
        <v>26.881969589600033</v>
      </c>
    </row>
    <row r="36" spans="1:25" ht="15.6" customHeight="1" x14ac:dyDescent="0.25">
      <c r="A36" s="67">
        <v>28</v>
      </c>
      <c r="B36" s="18" t="s">
        <v>47</v>
      </c>
      <c r="C36" s="108"/>
      <c r="D36" s="110"/>
      <c r="E36" s="112"/>
      <c r="F36" s="112"/>
      <c r="G36" s="98"/>
      <c r="H36" s="112"/>
      <c r="I36" s="112"/>
      <c r="J36" s="98"/>
      <c r="K36" s="112"/>
      <c r="L36" s="112"/>
      <c r="M36" s="98"/>
      <c r="N36" s="100"/>
      <c r="O36" s="100"/>
      <c r="P36" s="98"/>
      <c r="Q36" s="100"/>
      <c r="R36" s="100"/>
      <c r="S36" s="98"/>
      <c r="T36" s="100"/>
      <c r="U36" s="100"/>
      <c r="V36" s="98">
        <f t="shared" si="17"/>
        <v>0</v>
      </c>
      <c r="W36" s="98">
        <f t="shared" si="18"/>
        <v>0</v>
      </c>
      <c r="X36" s="98">
        <f t="shared" si="18"/>
        <v>0</v>
      </c>
      <c r="Y36" s="98">
        <f t="shared" si="13"/>
        <v>0</v>
      </c>
    </row>
    <row r="37" spans="1:25" ht="25.5" x14ac:dyDescent="0.25">
      <c r="A37" s="67">
        <v>29</v>
      </c>
      <c r="B37" s="18" t="s">
        <v>91</v>
      </c>
      <c r="C37" s="89">
        <v>1000</v>
      </c>
      <c r="D37" s="81">
        <v>2.8299999999999999E-2</v>
      </c>
      <c r="E37" s="68">
        <f>'Jan''22'!E37+'Feb''22'!E37+'Mar''22'!E37</f>
        <v>50.699999999999996</v>
      </c>
      <c r="F37" s="68">
        <f>'Jan''22'!F37+'Feb''22'!F37+'Mar''22'!F37</f>
        <v>29.540335000000002</v>
      </c>
      <c r="G37" s="69">
        <f t="shared" si="11"/>
        <v>-21.159664999999993</v>
      </c>
      <c r="H37" s="68">
        <f>'Jan''22'!H37+'Feb''22'!H37+'Mar''22'!H37</f>
        <v>82.25</v>
      </c>
      <c r="I37" s="68">
        <f>'Jan''22'!I37+'Feb''22'!I37+'Mar''22'!I37</f>
        <v>51.455878999999996</v>
      </c>
      <c r="J37" s="70">
        <f t="shared" si="5"/>
        <v>-30.794121000000004</v>
      </c>
      <c r="K37" s="68">
        <f>'Jan''22'!K37+'Feb''22'!K37+'Mar''22'!K37</f>
        <v>147.02999999999997</v>
      </c>
      <c r="L37" s="68">
        <f>'Jan''22'!L37+'Feb''22'!L37+'Mar''22'!L37</f>
        <v>106.72016499999999</v>
      </c>
      <c r="M37" s="70">
        <f t="shared" si="0"/>
        <v>-40.309834999999978</v>
      </c>
      <c r="N37" s="66">
        <v>0</v>
      </c>
      <c r="O37" s="68">
        <v>0</v>
      </c>
      <c r="P37" s="70">
        <f t="shared" si="15"/>
        <v>0</v>
      </c>
      <c r="Q37" s="66">
        <v>0</v>
      </c>
      <c r="R37" s="68">
        <v>0</v>
      </c>
      <c r="S37" s="70">
        <f t="shared" si="16"/>
        <v>0</v>
      </c>
      <c r="T37" s="66">
        <v>0</v>
      </c>
      <c r="U37" s="68">
        <v>0</v>
      </c>
      <c r="V37" s="70">
        <f t="shared" si="17"/>
        <v>0</v>
      </c>
      <c r="W37" s="70">
        <f t="shared" si="18"/>
        <v>229.27999999999997</v>
      </c>
      <c r="X37" s="70">
        <f t="shared" si="18"/>
        <v>158.17604399999999</v>
      </c>
      <c r="Y37" s="70">
        <f t="shared" si="13"/>
        <v>-71.103955999999982</v>
      </c>
    </row>
    <row r="38" spans="1:25" ht="15.95" customHeight="1" x14ac:dyDescent="0.25">
      <c r="A38" s="67">
        <v>30</v>
      </c>
      <c r="B38" s="18" t="s">
        <v>48</v>
      </c>
      <c r="C38" s="89">
        <v>1000</v>
      </c>
      <c r="D38" s="81">
        <v>1.23E-2</v>
      </c>
      <c r="E38" s="68">
        <f>'Jan''22'!E38+'Feb''22'!E38+'Mar''22'!E38</f>
        <v>11.34</v>
      </c>
      <c r="F38" s="68">
        <f>'Jan''22'!F38+'Feb''22'!F38+'Mar''22'!F38</f>
        <v>22.051310999999998</v>
      </c>
      <c r="G38" s="69">
        <f t="shared" si="11"/>
        <v>10.711310999999998</v>
      </c>
      <c r="H38" s="68">
        <f>'Jan''22'!H38+'Feb''22'!H38+'Mar''22'!H38</f>
        <v>25.724999999999998</v>
      </c>
      <c r="I38" s="68">
        <f>'Jan''22'!I38+'Feb''22'!I38+'Mar''22'!I38</f>
        <v>40.6905888338</v>
      </c>
      <c r="J38" s="70">
        <f t="shared" si="5"/>
        <v>14.965588833800002</v>
      </c>
      <c r="K38" s="68">
        <f>'Jan''22'!K38+'Feb''22'!K38+'Mar''22'!K38</f>
        <v>26.535599999999995</v>
      </c>
      <c r="L38" s="68">
        <f>'Jan''22'!L38+'Feb''22'!L38+'Mar''22'!L38</f>
        <v>48.441498745999994</v>
      </c>
      <c r="M38" s="70">
        <f t="shared" si="0"/>
        <v>21.905898745999998</v>
      </c>
      <c r="N38" s="66">
        <v>0</v>
      </c>
      <c r="O38" s="68">
        <v>0</v>
      </c>
      <c r="P38" s="70">
        <f t="shared" si="15"/>
        <v>0</v>
      </c>
      <c r="Q38" s="66">
        <v>0</v>
      </c>
      <c r="R38" s="68">
        <v>0</v>
      </c>
      <c r="S38" s="70">
        <f t="shared" si="16"/>
        <v>0</v>
      </c>
      <c r="T38" s="66">
        <v>0</v>
      </c>
      <c r="U38" s="68">
        <v>0</v>
      </c>
      <c r="V38" s="70">
        <f t="shared" si="17"/>
        <v>0</v>
      </c>
      <c r="W38" s="70">
        <f t="shared" si="18"/>
        <v>52.260599999999997</v>
      </c>
      <c r="X38" s="70">
        <f t="shared" si="18"/>
        <v>89.132087579799986</v>
      </c>
      <c r="Y38" s="70">
        <f t="shared" si="13"/>
        <v>36.871487579799989</v>
      </c>
    </row>
    <row r="39" spans="1:25" s="37" customFormat="1" ht="15.95" customHeight="1" x14ac:dyDescent="0.25">
      <c r="A39" s="2"/>
      <c r="B39" s="35" t="s">
        <v>49</v>
      </c>
      <c r="C39" s="90">
        <f>SUM(C24:C38)</f>
        <v>15290</v>
      </c>
      <c r="D39" s="32"/>
      <c r="E39" s="32">
        <f t="shared" ref="E39:Y39" si="19">SUM(E24:E38)</f>
        <v>817.52000000000021</v>
      </c>
      <c r="F39" s="32">
        <f t="shared" si="19"/>
        <v>832.48035843180014</v>
      </c>
      <c r="G39" s="32">
        <f t="shared" si="19"/>
        <v>14.960358431800028</v>
      </c>
      <c r="H39" s="32">
        <f t="shared" si="19"/>
        <v>849.35</v>
      </c>
      <c r="I39" s="32">
        <f t="shared" si="19"/>
        <v>883.18233066659991</v>
      </c>
      <c r="J39" s="32">
        <f t="shared" si="19"/>
        <v>33.83233066659993</v>
      </c>
      <c r="K39" s="32">
        <f t="shared" si="19"/>
        <v>2398.1714999999995</v>
      </c>
      <c r="L39" s="32">
        <f t="shared" si="19"/>
        <v>2539.1385282975998</v>
      </c>
      <c r="M39" s="32">
        <f t="shared" si="19"/>
        <v>140.9670282976</v>
      </c>
      <c r="N39" s="32">
        <f t="shared" si="19"/>
        <v>0</v>
      </c>
      <c r="O39" s="32">
        <f t="shared" si="19"/>
        <v>0</v>
      </c>
      <c r="P39" s="32">
        <f t="shared" si="19"/>
        <v>0</v>
      </c>
      <c r="Q39" s="32">
        <f t="shared" si="19"/>
        <v>0</v>
      </c>
      <c r="R39" s="32">
        <f t="shared" si="19"/>
        <v>0</v>
      </c>
      <c r="S39" s="32">
        <f t="shared" si="19"/>
        <v>0</v>
      </c>
      <c r="T39" s="32">
        <f t="shared" si="19"/>
        <v>0</v>
      </c>
      <c r="U39" s="32">
        <f t="shared" si="19"/>
        <v>0</v>
      </c>
      <c r="V39" s="32">
        <f t="shared" si="19"/>
        <v>0</v>
      </c>
      <c r="W39" s="32">
        <f t="shared" si="19"/>
        <v>3247.5214999999994</v>
      </c>
      <c r="X39" s="32">
        <f t="shared" si="19"/>
        <v>3422.3208589641999</v>
      </c>
      <c r="Y39" s="32">
        <f t="shared" si="19"/>
        <v>174.79935896419994</v>
      </c>
    </row>
    <row r="40" spans="1:25" s="51" customFormat="1" ht="15.95" customHeight="1" x14ac:dyDescent="0.25">
      <c r="A40" s="47">
        <v>31</v>
      </c>
      <c r="B40" s="48" t="s">
        <v>50</v>
      </c>
      <c r="C40" s="91" t="str">
        <f ca="1">'CPDCL Q4 trueup'!C40</f>
        <v>**</v>
      </c>
      <c r="D40" s="49"/>
      <c r="E40" s="49">
        <f>'Jan''22'!E40+'Feb''22'!E40+'Mar''22'!E40</f>
        <v>15.53</v>
      </c>
      <c r="F40" s="49">
        <f>'Jan''22'!F40+'Feb''22'!F40+'Mar''22'!F40</f>
        <v>14.015815</v>
      </c>
      <c r="G40" s="49">
        <f t="shared" si="11"/>
        <v>-1.5141849999999994</v>
      </c>
      <c r="H40" s="49">
        <f>'Jan''22'!H40+'Feb''22'!H40+'Mar''22'!H40</f>
        <v>27.089999999999996</v>
      </c>
      <c r="I40" s="49">
        <f>'Jan''22'!I40+'Feb''22'!I40+'Mar''22'!I40</f>
        <v>0</v>
      </c>
      <c r="J40" s="49">
        <f t="shared" si="5"/>
        <v>-27.089999999999996</v>
      </c>
      <c r="K40" s="49">
        <f>'Jan''22'!K40+'Feb''22'!K40+'Mar''22'!K40</f>
        <v>55.5974</v>
      </c>
      <c r="L40" s="49">
        <f>'Jan''22'!L40+'Feb''22'!L40+'Mar''22'!L40</f>
        <v>65.775627999999998</v>
      </c>
      <c r="M40" s="49">
        <f t="shared" si="0"/>
        <v>10.178227999999997</v>
      </c>
      <c r="N40" s="49">
        <v>0</v>
      </c>
      <c r="O40" s="49">
        <f>'Jan''22'!O40+'Feb''22'!O40+'Mar''22'!O40</f>
        <v>0</v>
      </c>
      <c r="P40" s="49">
        <f>O40-N40</f>
        <v>0</v>
      </c>
      <c r="Q40" s="49">
        <v>0</v>
      </c>
      <c r="R40" s="49">
        <f>'Jan''22'!R40+'Feb''22'!R40+'Mar''22'!R40</f>
        <v>0</v>
      </c>
      <c r="S40" s="49">
        <f>R40-Q40</f>
        <v>0</v>
      </c>
      <c r="T40" s="49">
        <v>0</v>
      </c>
      <c r="U40" s="49">
        <f>'Jan''22'!U40+'Feb''22'!U40+'Mar''22'!U40</f>
        <v>0</v>
      </c>
      <c r="V40" s="49">
        <f>U40-T40</f>
        <v>0</v>
      </c>
      <c r="W40" s="49">
        <f t="shared" ref="W40:X45" si="20">H40+K40+N40+Q40+T40</f>
        <v>82.687399999999997</v>
      </c>
      <c r="X40" s="49">
        <f t="shared" si="20"/>
        <v>65.775627999999998</v>
      </c>
      <c r="Y40" s="49">
        <f t="shared" si="13"/>
        <v>-16.911771999999999</v>
      </c>
    </row>
    <row r="41" spans="1:25" ht="15.95" customHeight="1" x14ac:dyDescent="0.25">
      <c r="A41" s="67">
        <v>32</v>
      </c>
      <c r="B41" s="19" t="s">
        <v>51</v>
      </c>
      <c r="C41" s="78">
        <v>3766.6</v>
      </c>
      <c r="D41" s="44">
        <v>0</v>
      </c>
      <c r="E41" s="68">
        <f>'Jan''22'!E41+'Feb''22'!E41+'Mar''22'!E41</f>
        <v>0</v>
      </c>
      <c r="F41" s="68">
        <f>'Jan''22'!F41+'Feb''22'!F41+'Mar''22'!F41</f>
        <v>0</v>
      </c>
      <c r="G41" s="69">
        <f t="shared" si="11"/>
        <v>0</v>
      </c>
      <c r="H41" s="68">
        <f>'Jan''22'!H41+'Feb''22'!H41+'Mar''22'!H41</f>
        <v>0</v>
      </c>
      <c r="I41" s="68">
        <f>'Jan''22'!I41+'Feb''22'!I41+'Mar''22'!I41</f>
        <v>0</v>
      </c>
      <c r="J41" s="70">
        <f t="shared" si="5"/>
        <v>0</v>
      </c>
      <c r="K41" s="68">
        <f>'Jan''22'!K41+'Feb''22'!K41+'Mar''22'!K41</f>
        <v>0</v>
      </c>
      <c r="L41" s="68">
        <f>'Jan''22'!L41+'Feb''22'!L41+'Mar''22'!L41</f>
        <v>0</v>
      </c>
      <c r="M41" s="70">
        <f t="shared" si="0"/>
        <v>0</v>
      </c>
      <c r="N41" s="66">
        <v>0</v>
      </c>
      <c r="O41" s="68">
        <v>0</v>
      </c>
      <c r="P41" s="70">
        <f t="shared" ref="P41:P45" si="21">O41-N41</f>
        <v>0</v>
      </c>
      <c r="Q41" s="66">
        <v>0</v>
      </c>
      <c r="R41" s="68">
        <v>0</v>
      </c>
      <c r="S41" s="70">
        <f t="shared" ref="S41:S45" si="22">R41-Q41</f>
        <v>0</v>
      </c>
      <c r="T41" s="66">
        <v>0</v>
      </c>
      <c r="U41" s="68">
        <v>0</v>
      </c>
      <c r="V41" s="70">
        <f t="shared" ref="V41:V45" si="23">U41-T41</f>
        <v>0</v>
      </c>
      <c r="W41" s="70">
        <f t="shared" si="20"/>
        <v>0</v>
      </c>
      <c r="X41" s="70">
        <f t="shared" si="20"/>
        <v>0</v>
      </c>
      <c r="Y41" s="70">
        <f t="shared" si="13"/>
        <v>0</v>
      </c>
    </row>
    <row r="42" spans="1:25" ht="15.95" customHeight="1" x14ac:dyDescent="0.25">
      <c r="A42" s="67">
        <v>33</v>
      </c>
      <c r="B42" s="19" t="s">
        <v>52</v>
      </c>
      <c r="C42" s="78">
        <v>309.66000000000003</v>
      </c>
      <c r="D42" s="44">
        <v>0.29780000000000001</v>
      </c>
      <c r="E42" s="68">
        <f>'Jan''22'!E42+'Feb''22'!E42+'Mar''22'!E42</f>
        <v>45.769999999999996</v>
      </c>
      <c r="F42" s="68">
        <f>'Jan''22'!F42+'Feb''22'!F42+'Mar''22'!F42</f>
        <v>40.466456000000001</v>
      </c>
      <c r="G42" s="69">
        <f t="shared" si="11"/>
        <v>-5.3035439999999952</v>
      </c>
      <c r="H42" s="68">
        <f>'Jan''22'!H42+'Feb''22'!H42+'Mar''22'!H42</f>
        <v>0</v>
      </c>
      <c r="I42" s="68">
        <f>'Jan''22'!I42+'Feb''22'!I42+'Mar''22'!I42</f>
        <v>0</v>
      </c>
      <c r="J42" s="70">
        <f t="shared" si="5"/>
        <v>0</v>
      </c>
      <c r="K42" s="68">
        <f>'Jan''22'!K42+'Feb''22'!K42+'Mar''22'!K42</f>
        <v>235.25779999999997</v>
      </c>
      <c r="L42" s="68">
        <f>'Jan''22'!L42+'Feb''22'!L42+'Mar''22'!L42</f>
        <v>237.35137900000001</v>
      </c>
      <c r="M42" s="70">
        <f t="shared" si="0"/>
        <v>2.0935790000000338</v>
      </c>
      <c r="N42" s="66">
        <v>0</v>
      </c>
      <c r="O42" s="68">
        <v>0</v>
      </c>
      <c r="P42" s="70">
        <f t="shared" si="21"/>
        <v>0</v>
      </c>
      <c r="Q42" s="66">
        <v>0</v>
      </c>
      <c r="R42" s="68">
        <v>0</v>
      </c>
      <c r="S42" s="70">
        <f t="shared" si="22"/>
        <v>0</v>
      </c>
      <c r="T42" s="66">
        <v>0</v>
      </c>
      <c r="U42" s="68">
        <v>0</v>
      </c>
      <c r="V42" s="70">
        <f t="shared" si="23"/>
        <v>0</v>
      </c>
      <c r="W42" s="70">
        <f t="shared" si="20"/>
        <v>235.25779999999997</v>
      </c>
      <c r="X42" s="70">
        <f t="shared" si="20"/>
        <v>237.35137900000001</v>
      </c>
      <c r="Y42" s="70">
        <f t="shared" si="13"/>
        <v>2.0935790000000338</v>
      </c>
    </row>
    <row r="43" spans="1:25" ht="15.95" customHeight="1" x14ac:dyDescent="0.25">
      <c r="A43" s="67">
        <v>34</v>
      </c>
      <c r="B43" s="19" t="s">
        <v>53</v>
      </c>
      <c r="C43" s="78">
        <v>1466.43</v>
      </c>
      <c r="D43" s="44">
        <v>1.9099999999999999E-2</v>
      </c>
      <c r="E43" s="68">
        <f>'Jan''22'!E43+'Feb''22'!E43+'Mar''22'!E43</f>
        <v>27.81</v>
      </c>
      <c r="F43" s="68">
        <f>'Jan''22'!F43+'Feb''22'!F43+'Mar''22'!F43</f>
        <v>10.592649</v>
      </c>
      <c r="G43" s="69">
        <f t="shared" si="11"/>
        <v>-17.217351000000001</v>
      </c>
      <c r="H43" s="68">
        <f>'Jan''22'!H43+'Feb''22'!H43+'Mar''22'!H43</f>
        <v>0</v>
      </c>
      <c r="I43" s="68">
        <f>'Jan''22'!I43+'Feb''22'!I43+'Mar''22'!I43</f>
        <v>0</v>
      </c>
      <c r="J43" s="70">
        <f t="shared" si="5"/>
        <v>0</v>
      </c>
      <c r="K43" s="68">
        <f>'Jan''22'!K43+'Feb''22'!K43+'Mar''22'!K43</f>
        <v>67.856400000000008</v>
      </c>
      <c r="L43" s="68">
        <f>'Jan''22'!L43+'Feb''22'!L43+'Mar''22'!L43</f>
        <v>74.476156257199989</v>
      </c>
      <c r="M43" s="70">
        <f t="shared" si="0"/>
        <v>6.6197562571999811</v>
      </c>
      <c r="N43" s="66">
        <v>0</v>
      </c>
      <c r="O43" s="68">
        <v>0</v>
      </c>
      <c r="P43" s="70">
        <f t="shared" si="21"/>
        <v>0</v>
      </c>
      <c r="Q43" s="66">
        <v>0</v>
      </c>
      <c r="R43" s="68">
        <v>0</v>
      </c>
      <c r="S43" s="70">
        <f t="shared" si="22"/>
        <v>0</v>
      </c>
      <c r="T43" s="66">
        <v>0</v>
      </c>
      <c r="U43" s="68">
        <v>0</v>
      </c>
      <c r="V43" s="70">
        <f t="shared" si="23"/>
        <v>0</v>
      </c>
      <c r="W43" s="70">
        <f t="shared" si="20"/>
        <v>67.856400000000008</v>
      </c>
      <c r="X43" s="70">
        <f t="shared" si="20"/>
        <v>74.476156257199989</v>
      </c>
      <c r="Y43" s="70">
        <f t="shared" si="13"/>
        <v>6.6197562571999811</v>
      </c>
    </row>
    <row r="44" spans="1:25" ht="15.95" customHeight="1" x14ac:dyDescent="0.25">
      <c r="A44" s="67">
        <v>35</v>
      </c>
      <c r="B44" s="19" t="s">
        <v>54</v>
      </c>
      <c r="C44" s="89">
        <v>39</v>
      </c>
      <c r="D44" s="44">
        <v>0</v>
      </c>
      <c r="E44" s="68">
        <f>'Jan''22'!E44+'Feb''22'!E44+'Mar''22'!E44</f>
        <v>3.81</v>
      </c>
      <c r="F44" s="68">
        <f>'Jan''22'!F44+'Feb''22'!F44+'Mar''22'!F44</f>
        <v>0</v>
      </c>
      <c r="G44" s="69">
        <f t="shared" si="11"/>
        <v>-3.81</v>
      </c>
      <c r="H44" s="68">
        <f>'Jan''22'!H44+'Feb''22'!H44+'Mar''22'!H44</f>
        <v>0</v>
      </c>
      <c r="I44" s="68">
        <f>'Jan''22'!I44+'Feb''22'!I44+'Mar''22'!I44</f>
        <v>0</v>
      </c>
      <c r="J44" s="70">
        <f t="shared" si="5"/>
        <v>0</v>
      </c>
      <c r="K44" s="68">
        <f>'Jan''22'!K44+'Feb''22'!K44+'Mar''22'!K44</f>
        <v>40.005000000000003</v>
      </c>
      <c r="L44" s="68">
        <f>'Jan''22'!L44+'Feb''22'!L44+'Mar''22'!L44</f>
        <v>0</v>
      </c>
      <c r="M44" s="70">
        <f t="shared" si="0"/>
        <v>-40.005000000000003</v>
      </c>
      <c r="N44" s="66">
        <v>0</v>
      </c>
      <c r="O44" s="68">
        <v>0</v>
      </c>
      <c r="P44" s="70">
        <f t="shared" si="21"/>
        <v>0</v>
      </c>
      <c r="Q44" s="66">
        <v>0</v>
      </c>
      <c r="R44" s="68">
        <v>0</v>
      </c>
      <c r="S44" s="70">
        <f t="shared" si="22"/>
        <v>0</v>
      </c>
      <c r="T44" s="66">
        <v>0</v>
      </c>
      <c r="U44" s="68">
        <v>0</v>
      </c>
      <c r="V44" s="70">
        <f t="shared" si="23"/>
        <v>0</v>
      </c>
      <c r="W44" s="70">
        <f t="shared" si="20"/>
        <v>40.005000000000003</v>
      </c>
      <c r="X44" s="70">
        <f t="shared" si="20"/>
        <v>0</v>
      </c>
      <c r="Y44" s="70">
        <f t="shared" si="13"/>
        <v>-40.005000000000003</v>
      </c>
    </row>
    <row r="45" spans="1:25" ht="15.95" customHeight="1" x14ac:dyDescent="0.25">
      <c r="A45" s="67">
        <v>36</v>
      </c>
      <c r="B45" s="19" t="s">
        <v>55</v>
      </c>
      <c r="C45" s="89">
        <v>1250</v>
      </c>
      <c r="D45" s="44">
        <v>0</v>
      </c>
      <c r="E45" s="68">
        <f>'Jan''22'!E45+'Feb''22'!E45+'Mar''22'!E45</f>
        <v>0</v>
      </c>
      <c r="F45" s="68">
        <f>'Jan''22'!F45+'Feb''22'!F45+'Mar''22'!F45</f>
        <v>0</v>
      </c>
      <c r="G45" s="69">
        <f t="shared" si="11"/>
        <v>0</v>
      </c>
      <c r="H45" s="68">
        <f>'Jan''22'!H45+'Feb''22'!H45+'Mar''22'!H45</f>
        <v>0</v>
      </c>
      <c r="I45" s="68">
        <f>'Jan''22'!I45+'Feb''22'!I45+'Mar''22'!I45</f>
        <v>0</v>
      </c>
      <c r="J45" s="70">
        <f t="shared" si="5"/>
        <v>0</v>
      </c>
      <c r="K45" s="68">
        <f>'Jan''22'!K45+'Feb''22'!K45+'Mar''22'!K45</f>
        <v>0</v>
      </c>
      <c r="L45" s="68">
        <f>'Jan''22'!L45+'Feb''22'!L45+'Mar''22'!L45</f>
        <v>0</v>
      </c>
      <c r="M45" s="70">
        <f t="shared" si="0"/>
        <v>0</v>
      </c>
      <c r="N45" s="66">
        <v>0</v>
      </c>
      <c r="O45" s="68">
        <v>0</v>
      </c>
      <c r="P45" s="70">
        <f t="shared" si="21"/>
        <v>0</v>
      </c>
      <c r="Q45" s="66">
        <v>0</v>
      </c>
      <c r="R45" s="68">
        <v>0</v>
      </c>
      <c r="S45" s="70">
        <f t="shared" si="22"/>
        <v>0</v>
      </c>
      <c r="T45" s="66">
        <v>0</v>
      </c>
      <c r="U45" s="68">
        <v>0</v>
      </c>
      <c r="V45" s="70">
        <f t="shared" si="23"/>
        <v>0</v>
      </c>
      <c r="W45" s="70">
        <f t="shared" si="20"/>
        <v>0</v>
      </c>
      <c r="X45" s="70">
        <f t="shared" si="20"/>
        <v>0</v>
      </c>
      <c r="Y45" s="70">
        <f t="shared" si="13"/>
        <v>0</v>
      </c>
    </row>
    <row r="46" spans="1:25" s="37" customFormat="1" ht="15.95" customHeight="1" x14ac:dyDescent="0.25">
      <c r="A46" s="2"/>
      <c r="B46" s="38" t="s">
        <v>56</v>
      </c>
      <c r="C46" s="32">
        <f>SUM(C41:C45)</f>
        <v>6831.69</v>
      </c>
      <c r="D46" s="32"/>
      <c r="E46" s="32">
        <f t="shared" ref="E46:Y46" si="24">SUM(E41:E45)</f>
        <v>77.39</v>
      </c>
      <c r="F46" s="32">
        <f t="shared" si="24"/>
        <v>51.059105000000002</v>
      </c>
      <c r="G46" s="32">
        <f t="shared" si="24"/>
        <v>-26.330894999999995</v>
      </c>
      <c r="H46" s="32">
        <f t="shared" si="24"/>
        <v>0</v>
      </c>
      <c r="I46" s="32">
        <f t="shared" si="24"/>
        <v>0</v>
      </c>
      <c r="J46" s="32">
        <f t="shared" si="24"/>
        <v>0</v>
      </c>
      <c r="K46" s="32">
        <f t="shared" si="24"/>
        <v>343.11919999999998</v>
      </c>
      <c r="L46" s="32">
        <f t="shared" si="24"/>
        <v>311.8275352572</v>
      </c>
      <c r="M46" s="32">
        <f t="shared" si="24"/>
        <v>-31.291664742799988</v>
      </c>
      <c r="N46" s="32">
        <f t="shared" si="24"/>
        <v>0</v>
      </c>
      <c r="O46" s="32">
        <f t="shared" si="24"/>
        <v>0</v>
      </c>
      <c r="P46" s="32">
        <f t="shared" si="24"/>
        <v>0</v>
      </c>
      <c r="Q46" s="32">
        <f t="shared" si="24"/>
        <v>0</v>
      </c>
      <c r="R46" s="32">
        <f t="shared" si="24"/>
        <v>0</v>
      </c>
      <c r="S46" s="32">
        <f t="shared" si="24"/>
        <v>0</v>
      </c>
      <c r="T46" s="32">
        <f t="shared" si="24"/>
        <v>0</v>
      </c>
      <c r="U46" s="32">
        <f t="shared" si="24"/>
        <v>0</v>
      </c>
      <c r="V46" s="32">
        <f t="shared" si="24"/>
        <v>0</v>
      </c>
      <c r="W46" s="32">
        <f t="shared" si="24"/>
        <v>343.11919999999998</v>
      </c>
      <c r="X46" s="32">
        <f t="shared" si="24"/>
        <v>311.8275352572</v>
      </c>
      <c r="Y46" s="32">
        <f t="shared" si="24"/>
        <v>-31.291664742799988</v>
      </c>
    </row>
    <row r="47" spans="1:25" ht="15.95" customHeight="1" x14ac:dyDescent="0.25">
      <c r="A47" s="67">
        <v>37</v>
      </c>
      <c r="B47" s="19" t="s">
        <v>57</v>
      </c>
      <c r="C47" s="89">
        <v>216</v>
      </c>
      <c r="D47" s="44">
        <v>0.2334</v>
      </c>
      <c r="E47" s="68">
        <f>'Jan''22'!E47+'Feb''22'!E47+'Mar''22'!E47</f>
        <v>65.949999999999989</v>
      </c>
      <c r="F47" s="68">
        <f>'Jan''22'!F47+'Feb''22'!F47+'Mar''22'!F47</f>
        <v>30.940856553000003</v>
      </c>
      <c r="G47" s="69">
        <f t="shared" si="11"/>
        <v>-35.009143446999985</v>
      </c>
      <c r="H47" s="68">
        <f>'Jan''22'!H47+'Feb''22'!H47+'Mar''22'!H47</f>
        <v>11.675000000000001</v>
      </c>
      <c r="I47" s="68">
        <f>'Jan''22'!I47+'Feb''22'!I47+'Mar''22'!I47</f>
        <v>13.7650107702</v>
      </c>
      <c r="J47" s="70">
        <f t="shared" si="5"/>
        <v>2.0900107701999993</v>
      </c>
      <c r="K47" s="68">
        <f>'Jan''22'!K47+'Feb''22'!K47+'Mar''22'!K47</f>
        <v>145.09</v>
      </c>
      <c r="L47" s="68">
        <f>'Jan''22'!L47+'Feb''22'!L47+'Mar''22'!L47</f>
        <v>91.046431602599995</v>
      </c>
      <c r="M47" s="70">
        <f t="shared" si="0"/>
        <v>-54.043568397400009</v>
      </c>
      <c r="N47" s="66">
        <v>0</v>
      </c>
      <c r="O47" s="68">
        <v>0</v>
      </c>
      <c r="P47" s="70">
        <f t="shared" ref="P47:P50" si="25">O47-N47</f>
        <v>0</v>
      </c>
      <c r="Q47" s="66">
        <v>0</v>
      </c>
      <c r="R47" s="68">
        <v>0</v>
      </c>
      <c r="S47" s="70">
        <f t="shared" ref="S47:S50" si="26">R47-Q47</f>
        <v>0</v>
      </c>
      <c r="T47" s="66">
        <v>0</v>
      </c>
      <c r="U47" s="68">
        <v>0</v>
      </c>
      <c r="V47" s="70">
        <f t="shared" ref="V47:V50" si="27">U47-T47</f>
        <v>0</v>
      </c>
      <c r="W47" s="70">
        <f t="shared" ref="W47:X49" si="28">H47+K47+N47+Q47+T47</f>
        <v>156.76500000000001</v>
      </c>
      <c r="X47" s="70">
        <f t="shared" si="28"/>
        <v>104.8114423728</v>
      </c>
      <c r="Y47" s="70">
        <f t="shared" si="13"/>
        <v>-51.953557627200013</v>
      </c>
    </row>
    <row r="48" spans="1:25" ht="15.95" customHeight="1" x14ac:dyDescent="0.25">
      <c r="A48" s="67">
        <v>38</v>
      </c>
      <c r="B48" s="19" t="s">
        <v>20</v>
      </c>
      <c r="C48" s="89">
        <v>1240</v>
      </c>
      <c r="D48" s="44">
        <v>4.3400000000000001E-2</v>
      </c>
      <c r="E48" s="68">
        <f>'Jan''22'!E48+'Feb''22'!E48+'Mar''22'!E48</f>
        <v>95.97</v>
      </c>
      <c r="F48" s="68">
        <f>'Jan''22'!F48+'Feb''22'!F48+'Mar''22'!F48</f>
        <v>107.1305780604</v>
      </c>
      <c r="G48" s="69">
        <f t="shared" si="11"/>
        <v>11.160578060399999</v>
      </c>
      <c r="H48" s="68">
        <f>'Jan''22'!H48+'Feb''22'!H48+'Mar''22'!H48</f>
        <v>163.04999999999998</v>
      </c>
      <c r="I48" s="68">
        <f>'Jan''22'!I48+'Feb''22'!I48+'Mar''22'!I48</f>
        <v>161.1650552394</v>
      </c>
      <c r="J48" s="70">
        <f t="shared" si="5"/>
        <v>-1.8849447605999785</v>
      </c>
      <c r="K48" s="68">
        <f>'Jan''22'!K48+'Feb''22'!K48+'Mar''22'!K48</f>
        <v>223.61009999999999</v>
      </c>
      <c r="L48" s="68">
        <f>'Jan''22'!L48+'Feb''22'!L48+'Mar''22'!L48</f>
        <v>236.77141493100001</v>
      </c>
      <c r="M48" s="70">
        <f t="shared" si="0"/>
        <v>13.161314931000021</v>
      </c>
      <c r="N48" s="66">
        <v>0</v>
      </c>
      <c r="O48" s="68">
        <v>0</v>
      </c>
      <c r="P48" s="70">
        <f t="shared" si="25"/>
        <v>0</v>
      </c>
      <c r="Q48" s="66">
        <v>0</v>
      </c>
      <c r="R48" s="68">
        <v>0</v>
      </c>
      <c r="S48" s="70">
        <f t="shared" si="26"/>
        <v>0</v>
      </c>
      <c r="T48" s="66">
        <v>0</v>
      </c>
      <c r="U48" s="68">
        <v>0</v>
      </c>
      <c r="V48" s="70">
        <f t="shared" si="27"/>
        <v>0</v>
      </c>
      <c r="W48" s="70">
        <f t="shared" si="28"/>
        <v>386.66009999999994</v>
      </c>
      <c r="X48" s="70">
        <f t="shared" si="28"/>
        <v>397.93647017040001</v>
      </c>
      <c r="Y48" s="70">
        <f t="shared" si="13"/>
        <v>11.276370170400071</v>
      </c>
    </row>
    <row r="49" spans="1:25" ht="15.95" customHeight="1" x14ac:dyDescent="0.25">
      <c r="A49" s="67">
        <v>39</v>
      </c>
      <c r="B49" s="19" t="s">
        <v>58</v>
      </c>
      <c r="C49" s="89">
        <v>1440</v>
      </c>
      <c r="D49" s="44">
        <v>0.21010000000000001</v>
      </c>
      <c r="E49" s="68">
        <f>'Jan''22'!E49+'Feb''22'!E49+'Mar''22'!E49</f>
        <v>668.56</v>
      </c>
      <c r="F49" s="68">
        <f>'Jan''22'!F49+'Feb''22'!F49+'Mar''22'!F49</f>
        <v>429.74098140000001</v>
      </c>
      <c r="G49" s="69">
        <f t="shared" si="11"/>
        <v>-238.81901859999994</v>
      </c>
      <c r="H49" s="68">
        <f>'Jan''22'!H49+'Feb''22'!H49+'Mar''22'!H49</f>
        <v>1039.3250000000003</v>
      </c>
      <c r="I49" s="68">
        <f>'Jan''22'!I49+'Feb''22'!I49+'Mar''22'!I49</f>
        <v>694.88004309352937</v>
      </c>
      <c r="J49" s="70">
        <f t="shared" si="5"/>
        <v>-344.44495690647091</v>
      </c>
      <c r="K49" s="68">
        <f>'Jan''22'!K49+'Feb''22'!K49+'Mar''22'!K49</f>
        <v>2099.2784000000001</v>
      </c>
      <c r="L49" s="68">
        <f>'Jan''22'!L49+'Feb''22'!L49+'Mar''22'!L49</f>
        <v>1349.386681596</v>
      </c>
      <c r="M49" s="70">
        <f t="shared" si="0"/>
        <v>-749.89171840400013</v>
      </c>
      <c r="N49" s="66">
        <v>0</v>
      </c>
      <c r="O49" s="68">
        <v>0</v>
      </c>
      <c r="P49" s="70">
        <f t="shared" si="25"/>
        <v>0</v>
      </c>
      <c r="Q49" s="66">
        <v>0</v>
      </c>
      <c r="R49" s="68">
        <v>0</v>
      </c>
      <c r="S49" s="70">
        <f t="shared" si="26"/>
        <v>0</v>
      </c>
      <c r="T49" s="66">
        <v>0</v>
      </c>
      <c r="U49" s="68">
        <v>0</v>
      </c>
      <c r="V49" s="70">
        <f t="shared" si="27"/>
        <v>0</v>
      </c>
      <c r="W49" s="70">
        <f t="shared" si="28"/>
        <v>3138.6034000000004</v>
      </c>
      <c r="X49" s="70">
        <f t="shared" si="28"/>
        <v>2044.2667246895294</v>
      </c>
      <c r="Y49" s="70">
        <f t="shared" si="13"/>
        <v>-1094.336675310471</v>
      </c>
    </row>
    <row r="50" spans="1:25" ht="15.95" customHeight="1" x14ac:dyDescent="0.25">
      <c r="A50" s="67">
        <v>40</v>
      </c>
      <c r="B50" s="19" t="s">
        <v>87</v>
      </c>
      <c r="C50" s="67">
        <v>1040</v>
      </c>
      <c r="D50" s="44">
        <v>0.2334</v>
      </c>
      <c r="E50" s="68">
        <f>'Jan''22'!E50+'Feb''22'!E50+'Mar''22'!E50</f>
        <v>0</v>
      </c>
      <c r="F50" s="68">
        <f>'Jan''22'!F50+'Feb''22'!F50+'Mar''22'!F50</f>
        <v>51.863580599999999</v>
      </c>
      <c r="G50" s="69">
        <f t="shared" ref="G50" si="29">F50-E50</f>
        <v>51.863580599999999</v>
      </c>
      <c r="H50" s="68">
        <f>'Jan''22'!H50+'Feb''22'!H50+'Mar''22'!H50</f>
        <v>0</v>
      </c>
      <c r="I50" s="68">
        <f>'Jan''22'!I50+'Feb''22'!I50+'Mar''22'!I50</f>
        <v>0</v>
      </c>
      <c r="J50" s="70">
        <f t="shared" ref="J50" si="30">I50-H50</f>
        <v>0</v>
      </c>
      <c r="K50" s="68">
        <f>'Jan''22'!K50+'Feb''22'!K50+'Mar''22'!K50</f>
        <v>0</v>
      </c>
      <c r="L50" s="68">
        <f>'Jan''22'!L50+'Feb''22'!L50+'Mar''22'!L50</f>
        <v>198.118877892</v>
      </c>
      <c r="M50" s="70">
        <f t="shared" ref="M50:M53" si="31">L50-K50</f>
        <v>198.118877892</v>
      </c>
      <c r="N50" s="66">
        <v>0</v>
      </c>
      <c r="O50" s="68">
        <v>0</v>
      </c>
      <c r="P50" s="70">
        <f t="shared" si="25"/>
        <v>0</v>
      </c>
      <c r="Q50" s="66">
        <v>0</v>
      </c>
      <c r="R50" s="68">
        <v>0</v>
      </c>
      <c r="S50" s="70">
        <f t="shared" si="26"/>
        <v>0</v>
      </c>
      <c r="T50" s="66">
        <v>0</v>
      </c>
      <c r="U50" s="68">
        <v>0</v>
      </c>
      <c r="V50" s="70">
        <f t="shared" si="27"/>
        <v>0</v>
      </c>
      <c r="W50" s="70">
        <f t="shared" ref="W50" si="32">H50+K50+N50+Q50+T50</f>
        <v>0</v>
      </c>
      <c r="X50" s="70">
        <f t="shared" ref="X50" si="33">I50+L50+O50+R50+U50</f>
        <v>198.118877892</v>
      </c>
      <c r="Y50" s="70">
        <f t="shared" ref="Y50" si="34">X50-W50</f>
        <v>198.118877892</v>
      </c>
    </row>
    <row r="51" spans="1:25" s="37" customFormat="1" ht="15.95" customHeight="1" x14ac:dyDescent="0.25">
      <c r="A51" s="2"/>
      <c r="B51" s="38" t="s">
        <v>59</v>
      </c>
      <c r="C51" s="90">
        <f>SUM(C47:C50)</f>
        <v>3936</v>
      </c>
      <c r="D51" s="32"/>
      <c r="E51" s="32">
        <f t="shared" ref="E51:Y51" si="35">SUM(E47:E50)</f>
        <v>830.4799999999999</v>
      </c>
      <c r="F51" s="32">
        <f t="shared" si="35"/>
        <v>619.6759966134</v>
      </c>
      <c r="G51" s="32">
        <f t="shared" si="35"/>
        <v>-210.80400338659993</v>
      </c>
      <c r="H51" s="32">
        <f t="shared" si="35"/>
        <v>1214.0500000000002</v>
      </c>
      <c r="I51" s="32">
        <f t="shared" si="35"/>
        <v>869.81010910312943</v>
      </c>
      <c r="J51" s="32">
        <f t="shared" si="35"/>
        <v>-344.23989089687086</v>
      </c>
      <c r="K51" s="32">
        <f t="shared" si="35"/>
        <v>2467.9785000000002</v>
      </c>
      <c r="L51" s="32">
        <f t="shared" si="35"/>
        <v>1875.3234060216</v>
      </c>
      <c r="M51" s="32">
        <f t="shared" si="35"/>
        <v>-592.65509397840015</v>
      </c>
      <c r="N51" s="32">
        <f t="shared" si="35"/>
        <v>0</v>
      </c>
      <c r="O51" s="32">
        <f t="shared" si="35"/>
        <v>0</v>
      </c>
      <c r="P51" s="32">
        <f t="shared" si="35"/>
        <v>0</v>
      </c>
      <c r="Q51" s="32">
        <f t="shared" si="35"/>
        <v>0</v>
      </c>
      <c r="R51" s="32">
        <f t="shared" si="35"/>
        <v>0</v>
      </c>
      <c r="S51" s="32">
        <f t="shared" si="35"/>
        <v>0</v>
      </c>
      <c r="T51" s="32">
        <f t="shared" si="35"/>
        <v>0</v>
      </c>
      <c r="U51" s="32">
        <f t="shared" si="35"/>
        <v>0</v>
      </c>
      <c r="V51" s="32">
        <f t="shared" si="35"/>
        <v>0</v>
      </c>
      <c r="W51" s="32">
        <f t="shared" si="35"/>
        <v>3682.0285000000003</v>
      </c>
      <c r="X51" s="32">
        <f t="shared" si="35"/>
        <v>2745.1335151247295</v>
      </c>
      <c r="Y51" s="32">
        <f t="shared" si="35"/>
        <v>-936.89498487527089</v>
      </c>
    </row>
    <row r="52" spans="1:25" s="37" customFormat="1" ht="15.95" customHeight="1" x14ac:dyDescent="0.25">
      <c r="A52" s="2"/>
      <c r="B52" s="38" t="s">
        <v>60</v>
      </c>
      <c r="C52" s="32"/>
      <c r="D52" s="32"/>
      <c r="E52" s="32">
        <f>E23+E39+E40+E46+E51</f>
        <v>3249.36</v>
      </c>
      <c r="F52" s="32">
        <f t="shared" ref="F52:Y52" si="36">F23+F39+F40+F46+F51</f>
        <v>2790.9759248052001</v>
      </c>
      <c r="G52" s="32">
        <f t="shared" si="36"/>
        <v>-458.38407519479995</v>
      </c>
      <c r="H52" s="32">
        <f t="shared" si="36"/>
        <v>3872.9500000000003</v>
      </c>
      <c r="I52" s="32">
        <f t="shared" si="36"/>
        <v>2842.5818075303296</v>
      </c>
      <c r="J52" s="32">
        <f t="shared" si="36"/>
        <v>-1030.3681924696712</v>
      </c>
      <c r="K52" s="32">
        <f t="shared" si="36"/>
        <v>9894.3446000000004</v>
      </c>
      <c r="L52" s="32">
        <f t="shared" si="36"/>
        <v>8647.1898133333998</v>
      </c>
      <c r="M52" s="32">
        <f t="shared" si="36"/>
        <v>-1247.1547866666006</v>
      </c>
      <c r="N52" s="32">
        <f t="shared" si="36"/>
        <v>0</v>
      </c>
      <c r="O52" s="32">
        <f t="shared" si="36"/>
        <v>0</v>
      </c>
      <c r="P52" s="32">
        <f t="shared" si="36"/>
        <v>0</v>
      </c>
      <c r="Q52" s="32">
        <f t="shared" si="36"/>
        <v>0</v>
      </c>
      <c r="R52" s="32">
        <f t="shared" si="36"/>
        <v>0</v>
      </c>
      <c r="S52" s="32">
        <f t="shared" si="36"/>
        <v>0</v>
      </c>
      <c r="T52" s="32">
        <f t="shared" si="36"/>
        <v>0</v>
      </c>
      <c r="U52" s="32">
        <f t="shared" si="36"/>
        <v>0</v>
      </c>
      <c r="V52" s="32">
        <f t="shared" si="36"/>
        <v>0</v>
      </c>
      <c r="W52" s="32">
        <f t="shared" si="36"/>
        <v>13767.294600000001</v>
      </c>
      <c r="X52" s="32">
        <f t="shared" si="36"/>
        <v>11489.77162086373</v>
      </c>
      <c r="Y52" s="32">
        <f t="shared" si="36"/>
        <v>-2277.5229791362717</v>
      </c>
    </row>
    <row r="53" spans="1:25" s="57" customFormat="1" ht="15.95" customHeight="1" x14ac:dyDescent="0.25">
      <c r="A53" s="58">
        <v>41</v>
      </c>
      <c r="B53" s="94" t="s">
        <v>61</v>
      </c>
      <c r="C53" s="58"/>
      <c r="D53" s="60"/>
      <c r="E53" s="60">
        <f>'Jan''22'!E53+'Feb''22'!E53+'Mar''22'!E53</f>
        <v>0</v>
      </c>
      <c r="F53" s="60">
        <f>'Jan''22'!F53+'Feb''22'!F53+'Mar''22'!F53</f>
        <v>0</v>
      </c>
      <c r="G53" s="49">
        <f t="shared" si="11"/>
        <v>0</v>
      </c>
      <c r="H53" s="60">
        <f>'Jan''22'!H53+'Feb''22'!H53+'Mar''22'!H53</f>
        <v>0</v>
      </c>
      <c r="I53" s="60">
        <f>'Jan''22'!I53+'Feb''22'!I53+'Mar''22'!I53</f>
        <v>0</v>
      </c>
      <c r="J53" s="49">
        <f t="shared" si="5"/>
        <v>0</v>
      </c>
      <c r="K53" s="60">
        <f>'Jan''22'!K53+'Feb''22'!K53+'Mar''22'!K53</f>
        <v>0</v>
      </c>
      <c r="L53" s="60">
        <f>'Jan''22'!L53+'Feb''22'!L53+'Mar''22'!L53</f>
        <v>14.378223000000002</v>
      </c>
      <c r="M53" s="70">
        <f t="shared" si="31"/>
        <v>14.378223000000002</v>
      </c>
      <c r="N53" s="60">
        <v>0</v>
      </c>
      <c r="O53" s="60">
        <f>'Jan''22'!O53+'Feb''22'!O53+'Mar''22'!O53</f>
        <v>0</v>
      </c>
      <c r="P53" s="49">
        <f t="shared" ref="P53:P61" si="37">O53-N53</f>
        <v>0</v>
      </c>
      <c r="Q53" s="60">
        <v>0</v>
      </c>
      <c r="R53" s="60">
        <f>'Jan''22'!R53+'Feb''22'!R53+'Mar''22'!R53</f>
        <v>0</v>
      </c>
      <c r="S53" s="49">
        <f t="shared" ref="S53:S61" si="38">R53-Q53</f>
        <v>0</v>
      </c>
      <c r="T53" s="60">
        <v>0</v>
      </c>
      <c r="U53" s="60">
        <f>'Jan''22'!U53+'Feb''22'!U53+'Mar''22'!U53</f>
        <v>0</v>
      </c>
      <c r="V53" s="49">
        <f t="shared" ref="V53:V61" si="39">U53-T53</f>
        <v>0</v>
      </c>
      <c r="W53" s="60">
        <f t="shared" ref="W53:X56" si="40">H53+K53+N53+Q53+T53</f>
        <v>0</v>
      </c>
      <c r="X53" s="60">
        <f t="shared" si="40"/>
        <v>14.378223000000002</v>
      </c>
      <c r="Y53" s="60">
        <f t="shared" si="13"/>
        <v>14.378223000000002</v>
      </c>
    </row>
    <row r="54" spans="1:25" ht="15.95" customHeight="1" x14ac:dyDescent="0.25">
      <c r="A54" s="3">
        <v>42</v>
      </c>
      <c r="B54" s="17" t="s">
        <v>63</v>
      </c>
      <c r="C54" s="67"/>
      <c r="D54" s="68"/>
      <c r="E54" s="78">
        <f>'Jan''22'!E54+'Feb''22'!E54+'Mar''22'!E54</f>
        <v>0</v>
      </c>
      <c r="F54" s="68">
        <f>'Jan''22'!F54+'Feb''22'!F54+'Mar''22'!F54</f>
        <v>25.430563799999998</v>
      </c>
      <c r="G54" s="69">
        <f>F54-E54</f>
        <v>25.430563799999998</v>
      </c>
      <c r="H54" s="78">
        <f>'Jan''22'!H54+'Feb''22'!H54+'Mar''22'!H54</f>
        <v>0</v>
      </c>
      <c r="I54" s="68">
        <f>'Jan''22'!I54+'Feb''22'!I54+'Mar''22'!I54</f>
        <v>0</v>
      </c>
      <c r="J54" s="69">
        <f t="shared" si="5"/>
        <v>0</v>
      </c>
      <c r="K54" s="68">
        <f>'Jan''22'!K54+'Feb''22'!K54+'Mar''22'!K54</f>
        <v>0</v>
      </c>
      <c r="L54" s="68">
        <f>'Jan''22'!L54+'Feb''22'!L54+'Mar''22'!L54</f>
        <v>250.9449029976</v>
      </c>
      <c r="M54" s="69">
        <f t="shared" si="0"/>
        <v>250.9449029976</v>
      </c>
      <c r="N54" s="66">
        <v>0</v>
      </c>
      <c r="O54" s="68">
        <v>0</v>
      </c>
      <c r="P54" s="70">
        <f t="shared" si="37"/>
        <v>0</v>
      </c>
      <c r="Q54" s="66">
        <v>0</v>
      </c>
      <c r="R54" s="68">
        <v>0</v>
      </c>
      <c r="S54" s="70">
        <f t="shared" si="38"/>
        <v>0</v>
      </c>
      <c r="T54" s="66">
        <v>0</v>
      </c>
      <c r="U54" s="68">
        <v>0</v>
      </c>
      <c r="V54" s="70">
        <f t="shared" si="39"/>
        <v>0</v>
      </c>
      <c r="W54" s="70">
        <f t="shared" si="40"/>
        <v>0</v>
      </c>
      <c r="X54" s="70">
        <f t="shared" si="40"/>
        <v>250.9449029976</v>
      </c>
      <c r="Y54" s="69">
        <f t="shared" si="13"/>
        <v>250.9449029976</v>
      </c>
    </row>
    <row r="55" spans="1:25" ht="15.95" customHeight="1" x14ac:dyDescent="0.25">
      <c r="A55" s="67">
        <v>43</v>
      </c>
      <c r="B55" s="19" t="s">
        <v>98</v>
      </c>
      <c r="C55" s="67"/>
      <c r="D55" s="68"/>
      <c r="E55" s="78">
        <f>'Jan''22'!E55+'Feb''22'!E55+'Mar''22'!E55</f>
        <v>137.22999999999999</v>
      </c>
      <c r="F55" s="68">
        <f>'Jan''22'!F55+'Feb''22'!F55+'Mar''22'!F55</f>
        <v>649.94562842640005</v>
      </c>
      <c r="G55" s="70">
        <f t="shared" si="11"/>
        <v>512.71562842640003</v>
      </c>
      <c r="H55" s="78">
        <f>'Jan''22'!H55+'Feb''22'!H55+'Mar''22'!H55</f>
        <v>0</v>
      </c>
      <c r="I55" s="68">
        <f>'Jan''22'!I55+'Feb''22'!I55+'Mar''22'!I55</f>
        <v>0</v>
      </c>
      <c r="J55" s="70">
        <f t="shared" si="5"/>
        <v>0</v>
      </c>
      <c r="K55" s="68">
        <f>'Jan''22'!K55+'Feb''22'!K55+'Mar''22'!K55</f>
        <v>507.75100000000003</v>
      </c>
      <c r="L55" s="68">
        <f>'Jan''22'!L55+'Feb''22'!L55+'Mar''22'!L55</f>
        <v>4372.0821321075355</v>
      </c>
      <c r="M55" s="69">
        <f t="shared" si="0"/>
        <v>3864.3311321075353</v>
      </c>
      <c r="N55" s="66">
        <v>0</v>
      </c>
      <c r="O55" s="68">
        <v>0</v>
      </c>
      <c r="P55" s="70">
        <f t="shared" si="37"/>
        <v>0</v>
      </c>
      <c r="Q55" s="66">
        <v>0</v>
      </c>
      <c r="R55" s="68">
        <v>0</v>
      </c>
      <c r="S55" s="70">
        <f t="shared" si="38"/>
        <v>0</v>
      </c>
      <c r="T55" s="66">
        <v>0</v>
      </c>
      <c r="U55" s="68">
        <v>0</v>
      </c>
      <c r="V55" s="70">
        <f t="shared" si="39"/>
        <v>0</v>
      </c>
      <c r="W55" s="70">
        <f t="shared" si="40"/>
        <v>507.75100000000003</v>
      </c>
      <c r="X55" s="70">
        <f t="shared" si="40"/>
        <v>4372.0821321075355</v>
      </c>
      <c r="Y55" s="70">
        <f t="shared" si="13"/>
        <v>3864.3311321075353</v>
      </c>
    </row>
    <row r="56" spans="1:25" ht="15.95" customHeight="1" x14ac:dyDescent="0.25">
      <c r="A56" s="67">
        <v>44</v>
      </c>
      <c r="B56" s="19" t="s">
        <v>21</v>
      </c>
      <c r="C56" s="67"/>
      <c r="D56" s="68"/>
      <c r="E56" s="78">
        <f>'Jan''22'!E56+'Feb''22'!E56+'Mar''22'!E56</f>
        <v>628.67000000000007</v>
      </c>
      <c r="F56" s="68">
        <f>'Jan''22'!F56+'Feb''22'!F56+'Mar''22'!F56</f>
        <v>467.19085506330384</v>
      </c>
      <c r="G56" s="69">
        <f t="shared" si="11"/>
        <v>-161.47914493669623</v>
      </c>
      <c r="H56" s="78">
        <f>'Jan''22'!H56+'Feb''22'!H56+'Mar''22'!H56</f>
        <v>0</v>
      </c>
      <c r="I56" s="68">
        <f>'Jan''22'!I56+'Feb''22'!I56+'Mar''22'!I56</f>
        <v>0</v>
      </c>
      <c r="J56" s="69">
        <f t="shared" si="5"/>
        <v>0</v>
      </c>
      <c r="K56" s="68">
        <f>'Jan''22'!K56+'Feb''22'!K56+'Mar''22'!K56</f>
        <v>1842.0030999999999</v>
      </c>
      <c r="L56" s="68">
        <f>'Jan''22'!L56+'Feb''22'!L56+'Mar''22'!L56</f>
        <v>2127.3564103534713</v>
      </c>
      <c r="M56" s="69">
        <f t="shared" si="0"/>
        <v>285.35331035347144</v>
      </c>
      <c r="N56" s="66">
        <v>0</v>
      </c>
      <c r="O56" s="68">
        <v>0</v>
      </c>
      <c r="P56" s="70">
        <f t="shared" si="37"/>
        <v>0</v>
      </c>
      <c r="Q56" s="66">
        <v>0</v>
      </c>
      <c r="R56" s="68">
        <v>0</v>
      </c>
      <c r="S56" s="70">
        <f t="shared" si="38"/>
        <v>0</v>
      </c>
      <c r="T56" s="66">
        <v>0</v>
      </c>
      <c r="U56" s="68">
        <v>0</v>
      </c>
      <c r="V56" s="70">
        <f t="shared" si="39"/>
        <v>0</v>
      </c>
      <c r="W56" s="70">
        <f t="shared" si="40"/>
        <v>1842.0030999999999</v>
      </c>
      <c r="X56" s="70">
        <f t="shared" si="40"/>
        <v>2127.3564103534713</v>
      </c>
      <c r="Y56" s="69">
        <f t="shared" si="13"/>
        <v>285.35331035347144</v>
      </c>
    </row>
    <row r="57" spans="1:25" s="37" customFormat="1" ht="15.95" customHeight="1" x14ac:dyDescent="0.25">
      <c r="A57" s="2"/>
      <c r="B57" s="38" t="s">
        <v>62</v>
      </c>
      <c r="C57" s="31"/>
      <c r="D57" s="32"/>
      <c r="E57" s="32">
        <f>SUM(E52:E56)</f>
        <v>4015.26</v>
      </c>
      <c r="F57" s="32">
        <f t="shared" ref="F57:Y57" si="41">SUM(F52:F56)</f>
        <v>3933.5429720949041</v>
      </c>
      <c r="G57" s="32">
        <f t="shared" si="41"/>
        <v>-81.717027905096131</v>
      </c>
      <c r="H57" s="32">
        <f t="shared" si="41"/>
        <v>3872.9500000000003</v>
      </c>
      <c r="I57" s="32">
        <f t="shared" si="41"/>
        <v>2842.5818075303296</v>
      </c>
      <c r="J57" s="32">
        <f t="shared" si="41"/>
        <v>-1030.3681924696712</v>
      </c>
      <c r="K57" s="32">
        <f t="shared" si="41"/>
        <v>12244.0987</v>
      </c>
      <c r="L57" s="32">
        <f t="shared" si="41"/>
        <v>15411.951481792008</v>
      </c>
      <c r="M57" s="32">
        <f t="shared" si="41"/>
        <v>3167.8527817920062</v>
      </c>
      <c r="N57" s="32">
        <f t="shared" si="41"/>
        <v>0</v>
      </c>
      <c r="O57" s="32">
        <f t="shared" si="41"/>
        <v>0</v>
      </c>
      <c r="P57" s="32">
        <f t="shared" si="41"/>
        <v>0</v>
      </c>
      <c r="Q57" s="32">
        <f t="shared" si="41"/>
        <v>0</v>
      </c>
      <c r="R57" s="32">
        <f t="shared" si="41"/>
        <v>0</v>
      </c>
      <c r="S57" s="32">
        <f t="shared" si="41"/>
        <v>0</v>
      </c>
      <c r="T57" s="32">
        <f t="shared" si="41"/>
        <v>0</v>
      </c>
      <c r="U57" s="32">
        <f t="shared" si="41"/>
        <v>0</v>
      </c>
      <c r="V57" s="32">
        <f t="shared" si="41"/>
        <v>0</v>
      </c>
      <c r="W57" s="32">
        <f t="shared" si="41"/>
        <v>16117.048700000001</v>
      </c>
      <c r="X57" s="32">
        <f t="shared" si="41"/>
        <v>18254.533289322335</v>
      </c>
      <c r="Y57" s="32">
        <f t="shared" si="41"/>
        <v>2137.4845893223351</v>
      </c>
    </row>
    <row r="58" spans="1:25" ht="15.95" customHeight="1" x14ac:dyDescent="0.25">
      <c r="A58" s="3">
        <v>45</v>
      </c>
      <c r="B58" s="17" t="s">
        <v>64</v>
      </c>
      <c r="C58" s="67"/>
      <c r="D58" s="68"/>
      <c r="E58" s="78"/>
      <c r="F58" s="68">
        <f>'Jan''22'!F58+'Feb''22'!F58+'Mar''22'!F58</f>
        <v>0</v>
      </c>
      <c r="G58" s="69">
        <f t="shared" si="11"/>
        <v>0</v>
      </c>
      <c r="H58" s="78">
        <v>1432.1250000000002</v>
      </c>
      <c r="I58" s="68">
        <f>'Jan''22'!I58+'Feb''22'!I58+'Mar''22'!I58</f>
        <v>1208.9382600000001</v>
      </c>
      <c r="J58" s="69">
        <f t="shared" si="5"/>
        <v>-223.1867400000001</v>
      </c>
      <c r="K58" s="68">
        <f>'Jan''22'!K58+'Feb''22'!K58+'Mar''22'!K58</f>
        <v>0</v>
      </c>
      <c r="L58" s="68">
        <f>'Jan''22'!L58+'Feb''22'!L58+'Mar''22'!L58</f>
        <v>0</v>
      </c>
      <c r="M58" s="69">
        <f t="shared" si="0"/>
        <v>0</v>
      </c>
      <c r="N58" s="78"/>
      <c r="O58" s="68"/>
      <c r="P58" s="70">
        <f t="shared" si="37"/>
        <v>0</v>
      </c>
      <c r="Q58" s="78"/>
      <c r="R58" s="68"/>
      <c r="S58" s="70">
        <f t="shared" si="38"/>
        <v>0</v>
      </c>
      <c r="T58" s="78"/>
      <c r="U58" s="68"/>
      <c r="V58" s="70">
        <f t="shared" si="39"/>
        <v>0</v>
      </c>
      <c r="W58" s="70">
        <f t="shared" ref="W58:X61" si="42">H58+K58+N58+Q58+T58</f>
        <v>1432.1250000000002</v>
      </c>
      <c r="X58" s="70">
        <f t="shared" si="42"/>
        <v>1208.9382600000001</v>
      </c>
      <c r="Y58" s="69">
        <f t="shared" si="13"/>
        <v>-223.1867400000001</v>
      </c>
    </row>
    <row r="59" spans="1:25" ht="15.95" customHeight="1" x14ac:dyDescent="0.25">
      <c r="A59" s="3">
        <v>46</v>
      </c>
      <c r="B59" s="17" t="s">
        <v>65</v>
      </c>
      <c r="C59" s="67"/>
      <c r="D59" s="67"/>
      <c r="E59" s="78"/>
      <c r="F59" s="68">
        <f>'Jan''22'!F59+'Feb''22'!F59+'Mar''22'!F59</f>
        <v>0</v>
      </c>
      <c r="G59" s="69">
        <f t="shared" si="11"/>
        <v>0</v>
      </c>
      <c r="H59" s="78">
        <v>20.499999999999996</v>
      </c>
      <c r="I59" s="68">
        <f>'Jan''22'!I59+'Feb''22'!I59+'Mar''22'!I59</f>
        <v>17.714766000000001</v>
      </c>
      <c r="J59" s="69">
        <f t="shared" si="5"/>
        <v>-2.7852339999999955</v>
      </c>
      <c r="K59" s="68">
        <f>'Jan''22'!K59+'Feb''22'!K59+'Mar''22'!K59</f>
        <v>0</v>
      </c>
      <c r="L59" s="68">
        <f>'Jan''22'!L59+'Feb''22'!L59+'Mar''22'!L59</f>
        <v>0</v>
      </c>
      <c r="M59" s="69">
        <f t="shared" si="0"/>
        <v>0</v>
      </c>
      <c r="N59" s="78"/>
      <c r="O59" s="68"/>
      <c r="P59" s="70">
        <f t="shared" si="37"/>
        <v>0</v>
      </c>
      <c r="Q59" s="78"/>
      <c r="R59" s="68"/>
      <c r="S59" s="70">
        <f t="shared" si="38"/>
        <v>0</v>
      </c>
      <c r="T59" s="78"/>
      <c r="U59" s="68"/>
      <c r="V59" s="70">
        <f t="shared" si="39"/>
        <v>0</v>
      </c>
      <c r="W59" s="70">
        <f t="shared" si="42"/>
        <v>20.499999999999996</v>
      </c>
      <c r="X59" s="70">
        <f t="shared" si="42"/>
        <v>17.714766000000001</v>
      </c>
      <c r="Y59" s="69">
        <f t="shared" si="13"/>
        <v>-2.7852339999999955</v>
      </c>
    </row>
    <row r="60" spans="1:25" ht="15.95" customHeight="1" x14ac:dyDescent="0.25">
      <c r="A60" s="3">
        <v>47</v>
      </c>
      <c r="B60" s="17" t="s">
        <v>66</v>
      </c>
      <c r="C60" s="79"/>
      <c r="D60" s="79"/>
      <c r="E60" s="78"/>
      <c r="F60" s="68">
        <f>'Jan''22'!F60+'Feb''22'!F60+'Mar''22'!F60</f>
        <v>0</v>
      </c>
      <c r="G60" s="69">
        <f t="shared" si="11"/>
        <v>0</v>
      </c>
      <c r="H60" s="78">
        <v>865.125</v>
      </c>
      <c r="I60" s="68">
        <f>'Jan''22'!I60+'Feb''22'!I60+'Mar''22'!I60</f>
        <v>455.7825527018</v>
      </c>
      <c r="J60" s="69">
        <f t="shared" si="5"/>
        <v>-409.3424472982</v>
      </c>
      <c r="K60" s="68">
        <f>'Jan''22'!K60+'Feb''22'!K60+'Mar''22'!K60</f>
        <v>0</v>
      </c>
      <c r="L60" s="68">
        <f>'Jan''22'!L60+'Feb''22'!L60+'Mar''22'!L60</f>
        <v>0</v>
      </c>
      <c r="M60" s="69">
        <f t="shared" si="0"/>
        <v>0</v>
      </c>
      <c r="N60" s="78"/>
      <c r="O60" s="68"/>
      <c r="P60" s="70">
        <f t="shared" si="37"/>
        <v>0</v>
      </c>
      <c r="Q60" s="78"/>
      <c r="R60" s="68"/>
      <c r="S60" s="70">
        <f t="shared" si="38"/>
        <v>0</v>
      </c>
      <c r="T60" s="78"/>
      <c r="U60" s="68"/>
      <c r="V60" s="70">
        <f t="shared" si="39"/>
        <v>0</v>
      </c>
      <c r="W60" s="70">
        <f t="shared" si="42"/>
        <v>865.125</v>
      </c>
      <c r="X60" s="70">
        <f t="shared" si="42"/>
        <v>455.7825527018</v>
      </c>
      <c r="Y60" s="69">
        <f t="shared" si="13"/>
        <v>-409.3424472982</v>
      </c>
    </row>
    <row r="61" spans="1:25" ht="15.95" customHeight="1" x14ac:dyDescent="0.25">
      <c r="A61" s="3">
        <v>48</v>
      </c>
      <c r="B61" s="17" t="s">
        <v>67</v>
      </c>
      <c r="C61" s="7"/>
      <c r="D61" s="7"/>
      <c r="E61" s="78"/>
      <c r="F61" s="68">
        <f>'Jan''22'!F61+'Feb''22'!F61+'Mar''22'!F61</f>
        <v>0</v>
      </c>
      <c r="G61" s="69">
        <f t="shared" si="11"/>
        <v>0</v>
      </c>
      <c r="H61" s="78">
        <v>8.65</v>
      </c>
      <c r="I61" s="68">
        <f>'Jan''22'!I61+'Feb''22'!I61+'Mar''22'!I61</f>
        <v>1.7166207193894074</v>
      </c>
      <c r="J61" s="69">
        <f t="shared" si="5"/>
        <v>-6.9333792806105929</v>
      </c>
      <c r="K61" s="68">
        <f>'Jan''22'!K61+'Feb''22'!K61+'Mar''22'!K61</f>
        <v>0</v>
      </c>
      <c r="L61" s="68">
        <f>'Jan''22'!L61+'Feb''22'!L61+'Mar''22'!L61</f>
        <v>0</v>
      </c>
      <c r="M61" s="69">
        <f t="shared" si="0"/>
        <v>0</v>
      </c>
      <c r="N61" s="78"/>
      <c r="O61" s="68"/>
      <c r="P61" s="70">
        <f t="shared" si="37"/>
        <v>0</v>
      </c>
      <c r="Q61" s="78"/>
      <c r="R61" s="68"/>
      <c r="S61" s="70">
        <f t="shared" si="38"/>
        <v>0</v>
      </c>
      <c r="T61" s="78"/>
      <c r="U61" s="68"/>
      <c r="V61" s="70">
        <f t="shared" si="39"/>
        <v>0</v>
      </c>
      <c r="W61" s="70">
        <f t="shared" si="42"/>
        <v>8.65</v>
      </c>
      <c r="X61" s="70">
        <f t="shared" si="42"/>
        <v>1.7166207193894074</v>
      </c>
      <c r="Y61" s="69">
        <f t="shared" si="13"/>
        <v>-6.9333792806105929</v>
      </c>
    </row>
    <row r="62" spans="1:25" s="37" customFormat="1" ht="25.5" x14ac:dyDescent="0.25">
      <c r="A62" s="2"/>
      <c r="B62" s="35" t="s">
        <v>68</v>
      </c>
      <c r="C62" s="31"/>
      <c r="D62" s="31"/>
      <c r="E62" s="32">
        <f>SUM(E58:E61)</f>
        <v>0</v>
      </c>
      <c r="F62" s="32">
        <f t="shared" ref="F62:Y62" si="43">SUM(F58:F61)</f>
        <v>0</v>
      </c>
      <c r="G62" s="32">
        <f t="shared" si="43"/>
        <v>0</v>
      </c>
      <c r="H62" s="32">
        <f t="shared" si="43"/>
        <v>2326.4</v>
      </c>
      <c r="I62" s="32">
        <f t="shared" si="43"/>
        <v>1684.1521994211896</v>
      </c>
      <c r="J62" s="32">
        <f t="shared" si="43"/>
        <v>-642.24780057881071</v>
      </c>
      <c r="K62" s="32">
        <f t="shared" si="43"/>
        <v>0</v>
      </c>
      <c r="L62" s="32">
        <f t="shared" si="43"/>
        <v>0</v>
      </c>
      <c r="M62" s="32">
        <f t="shared" si="43"/>
        <v>0</v>
      </c>
      <c r="N62" s="32">
        <f t="shared" si="43"/>
        <v>0</v>
      </c>
      <c r="O62" s="32">
        <f t="shared" si="43"/>
        <v>0</v>
      </c>
      <c r="P62" s="32">
        <f t="shared" si="43"/>
        <v>0</v>
      </c>
      <c r="Q62" s="32">
        <f t="shared" si="43"/>
        <v>0</v>
      </c>
      <c r="R62" s="32">
        <f t="shared" si="43"/>
        <v>0</v>
      </c>
      <c r="S62" s="32">
        <f t="shared" si="43"/>
        <v>0</v>
      </c>
      <c r="T62" s="32">
        <f t="shared" si="43"/>
        <v>0</v>
      </c>
      <c r="U62" s="32">
        <f t="shared" si="43"/>
        <v>0</v>
      </c>
      <c r="V62" s="32">
        <f t="shared" si="43"/>
        <v>0</v>
      </c>
      <c r="W62" s="32">
        <f t="shared" si="43"/>
        <v>2326.4</v>
      </c>
      <c r="X62" s="32">
        <f t="shared" si="43"/>
        <v>1684.1521994211896</v>
      </c>
      <c r="Y62" s="32">
        <f t="shared" si="43"/>
        <v>-642.24780057881071</v>
      </c>
    </row>
    <row r="63" spans="1:25" s="37" customFormat="1" ht="22.5" customHeight="1" x14ac:dyDescent="0.25">
      <c r="A63" s="2"/>
      <c r="B63" s="35" t="s">
        <v>69</v>
      </c>
      <c r="C63" s="31"/>
      <c r="D63" s="31"/>
      <c r="E63" s="32">
        <f>E57+E62</f>
        <v>4015.26</v>
      </c>
      <c r="F63" s="32">
        <f t="shared" ref="F63:Y63" si="44">F57+F62</f>
        <v>3933.5429720949041</v>
      </c>
      <c r="G63" s="32">
        <f t="shared" si="44"/>
        <v>-81.717027905096131</v>
      </c>
      <c r="H63" s="32">
        <f t="shared" si="44"/>
        <v>6199.35</v>
      </c>
      <c r="I63" s="32">
        <f t="shared" si="44"/>
        <v>4526.7340069515194</v>
      </c>
      <c r="J63" s="32">
        <f t="shared" si="44"/>
        <v>-1672.6159930484819</v>
      </c>
      <c r="K63" s="32">
        <f t="shared" si="44"/>
        <v>12244.0987</v>
      </c>
      <c r="L63" s="32">
        <f t="shared" si="44"/>
        <v>15411.951481792008</v>
      </c>
      <c r="M63" s="32">
        <f t="shared" si="44"/>
        <v>3167.8527817920062</v>
      </c>
      <c r="N63" s="32">
        <f t="shared" si="44"/>
        <v>0</v>
      </c>
      <c r="O63" s="32">
        <f t="shared" si="44"/>
        <v>0</v>
      </c>
      <c r="P63" s="32">
        <f t="shared" si="44"/>
        <v>0</v>
      </c>
      <c r="Q63" s="32">
        <f t="shared" si="44"/>
        <v>0</v>
      </c>
      <c r="R63" s="32">
        <f t="shared" si="44"/>
        <v>0</v>
      </c>
      <c r="S63" s="32">
        <f t="shared" si="44"/>
        <v>0</v>
      </c>
      <c r="T63" s="32">
        <f t="shared" si="44"/>
        <v>0</v>
      </c>
      <c r="U63" s="32">
        <f t="shared" si="44"/>
        <v>0</v>
      </c>
      <c r="V63" s="32">
        <f t="shared" si="44"/>
        <v>0</v>
      </c>
      <c r="W63" s="32">
        <f t="shared" si="44"/>
        <v>18443.448700000001</v>
      </c>
      <c r="X63" s="32">
        <f t="shared" si="44"/>
        <v>19938.685488743526</v>
      </c>
      <c r="Y63" s="32">
        <f t="shared" si="44"/>
        <v>1495.2367887435244</v>
      </c>
    </row>
    <row r="64" spans="1:25" ht="48" customHeight="1" x14ac:dyDescent="0.25">
      <c r="A64" s="3">
        <v>49</v>
      </c>
      <c r="B64" s="17" t="s">
        <v>95</v>
      </c>
      <c r="C64" s="7"/>
      <c r="D64" s="7"/>
      <c r="E64" s="78"/>
      <c r="F64" s="78">
        <v>-91.511051364312152</v>
      </c>
      <c r="G64" s="69"/>
      <c r="H64" s="78"/>
      <c r="I64" s="78">
        <v>412.94235299888896</v>
      </c>
      <c r="J64" s="69"/>
      <c r="K64" s="68"/>
      <c r="L64" s="78">
        <v>612.68830071261618</v>
      </c>
      <c r="M64" s="69"/>
      <c r="N64" s="78"/>
      <c r="O64" s="78"/>
      <c r="P64" s="69"/>
      <c r="Q64" s="78"/>
      <c r="R64" s="78"/>
      <c r="S64" s="69"/>
      <c r="T64" s="78"/>
      <c r="U64" s="78"/>
      <c r="V64" s="69"/>
      <c r="W64" s="70">
        <f t="shared" ref="W64" si="45">H64+K64+N64+Q64+T64</f>
        <v>0</v>
      </c>
      <c r="X64" s="70">
        <f t="shared" ref="X64" si="46">I64+L64+O64+R64+U64</f>
        <v>1025.6306537115051</v>
      </c>
      <c r="Y64" s="69">
        <f>X64-W64</f>
        <v>1025.6306537115051</v>
      </c>
    </row>
    <row r="65" spans="1:25" s="77" customFormat="1" ht="18" customHeight="1" x14ac:dyDescent="0.25">
      <c r="A65" s="2"/>
      <c r="B65" s="35" t="s">
        <v>85</v>
      </c>
      <c r="C65" s="39"/>
      <c r="D65" s="39"/>
      <c r="E65" s="36">
        <f>E63+E64</f>
        <v>4015.26</v>
      </c>
      <c r="F65" s="36">
        <f t="shared" ref="F65:Y65" si="47">F63+F64</f>
        <v>3842.031920730592</v>
      </c>
      <c r="G65" s="36">
        <f t="shared" si="47"/>
        <v>-81.717027905096131</v>
      </c>
      <c r="H65" s="36">
        <f t="shared" si="47"/>
        <v>6199.35</v>
      </c>
      <c r="I65" s="36">
        <f t="shared" si="47"/>
        <v>4939.6763599504084</v>
      </c>
      <c r="J65" s="36">
        <f t="shared" si="47"/>
        <v>-1672.6159930484819</v>
      </c>
      <c r="K65" s="36">
        <f t="shared" si="47"/>
        <v>12244.0987</v>
      </c>
      <c r="L65" s="36">
        <f t="shared" si="47"/>
        <v>16024.639782504624</v>
      </c>
      <c r="M65" s="36">
        <f t="shared" si="47"/>
        <v>3167.8527817920062</v>
      </c>
      <c r="N65" s="36">
        <f t="shared" si="47"/>
        <v>0</v>
      </c>
      <c r="O65" s="36">
        <f t="shared" si="47"/>
        <v>0</v>
      </c>
      <c r="P65" s="36">
        <f t="shared" si="47"/>
        <v>0</v>
      </c>
      <c r="Q65" s="36">
        <f t="shared" si="47"/>
        <v>0</v>
      </c>
      <c r="R65" s="36">
        <f t="shared" si="47"/>
        <v>0</v>
      </c>
      <c r="S65" s="36">
        <f t="shared" si="47"/>
        <v>0</v>
      </c>
      <c r="T65" s="36">
        <f t="shared" si="47"/>
        <v>0</v>
      </c>
      <c r="U65" s="36">
        <f t="shared" si="47"/>
        <v>0</v>
      </c>
      <c r="V65" s="36">
        <f t="shared" si="47"/>
        <v>0</v>
      </c>
      <c r="W65" s="36">
        <f t="shared" si="47"/>
        <v>18443.448700000001</v>
      </c>
      <c r="X65" s="36">
        <f t="shared" si="47"/>
        <v>20964.316142455031</v>
      </c>
      <c r="Y65" s="36">
        <f t="shared" si="47"/>
        <v>2520.8674424550295</v>
      </c>
    </row>
    <row r="66" spans="1:25" s="77" customFormat="1" ht="32.25" customHeight="1" x14ac:dyDescent="0.25">
      <c r="A66" s="65">
        <v>50</v>
      </c>
      <c r="B66" s="35" t="s">
        <v>99</v>
      </c>
      <c r="C66" s="39"/>
      <c r="D66" s="39"/>
      <c r="E66" s="32"/>
      <c r="F66" s="32"/>
      <c r="G66" s="36"/>
      <c r="H66" s="32"/>
      <c r="I66" s="32"/>
      <c r="J66" s="36"/>
      <c r="K66" s="36"/>
      <c r="L66" s="32"/>
      <c r="M66" s="36"/>
      <c r="N66" s="32"/>
      <c r="O66" s="32"/>
      <c r="P66" s="36"/>
      <c r="Q66" s="32"/>
      <c r="R66" s="32"/>
      <c r="S66" s="36"/>
      <c r="T66" s="32"/>
      <c r="U66" s="32"/>
      <c r="V66" s="36"/>
      <c r="W66" s="36"/>
      <c r="X66" s="36"/>
      <c r="Y66" s="36"/>
    </row>
    <row r="67" spans="1:25" s="57" customFormat="1" ht="15.95" customHeight="1" x14ac:dyDescent="0.25">
      <c r="A67" s="58"/>
      <c r="B67" s="59" t="s">
        <v>100</v>
      </c>
      <c r="C67" s="80"/>
      <c r="D67" s="80"/>
      <c r="E67" s="54"/>
      <c r="F67" s="54"/>
      <c r="G67" s="49"/>
      <c r="H67" s="54"/>
      <c r="I67" s="54"/>
      <c r="J67" s="49"/>
      <c r="K67" s="60"/>
      <c r="L67" s="54">
        <v>834.72274500000003</v>
      </c>
      <c r="M67" s="49"/>
      <c r="N67" s="54"/>
      <c r="O67" s="54"/>
      <c r="P67" s="49"/>
      <c r="Q67" s="54"/>
      <c r="R67" s="54"/>
      <c r="S67" s="49"/>
      <c r="T67" s="54"/>
      <c r="U67" s="54"/>
      <c r="V67" s="49"/>
      <c r="W67" s="70">
        <f t="shared" ref="W67:W74" si="48">H67+K67+N67+Q67+T67</f>
        <v>0</v>
      </c>
      <c r="X67" s="70">
        <f t="shared" ref="X67:X74" si="49">I67+L67+O67+R67+U67</f>
        <v>834.72274500000003</v>
      </c>
      <c r="Y67" s="70">
        <f t="shared" ref="Y67:Y73" si="50">X67-W67</f>
        <v>834.72274500000003</v>
      </c>
    </row>
    <row r="68" spans="1:25" s="57" customFormat="1" ht="15.95" customHeight="1" x14ac:dyDescent="0.25">
      <c r="A68" s="58"/>
      <c r="B68" s="59" t="s">
        <v>101</v>
      </c>
      <c r="C68" s="80"/>
      <c r="D68" s="80"/>
      <c r="E68" s="54"/>
      <c r="F68" s="54"/>
      <c r="G68" s="49"/>
      <c r="H68" s="54"/>
      <c r="I68" s="54"/>
      <c r="J68" s="49"/>
      <c r="K68" s="60"/>
      <c r="L68" s="54">
        <v>72.699094000000002</v>
      </c>
      <c r="M68" s="49"/>
      <c r="N68" s="54"/>
      <c r="O68" s="54"/>
      <c r="P68" s="49"/>
      <c r="Q68" s="54"/>
      <c r="R68" s="54"/>
      <c r="S68" s="49"/>
      <c r="T68" s="54"/>
      <c r="U68" s="54"/>
      <c r="V68" s="49"/>
      <c r="W68" s="70">
        <f t="shared" si="48"/>
        <v>0</v>
      </c>
      <c r="X68" s="70">
        <f t="shared" si="49"/>
        <v>72.699094000000002</v>
      </c>
      <c r="Y68" s="70">
        <f t="shared" si="50"/>
        <v>72.699094000000002</v>
      </c>
    </row>
    <row r="69" spans="1:25" s="57" customFormat="1" ht="15.95" customHeight="1" x14ac:dyDescent="0.25">
      <c r="A69" s="58"/>
      <c r="B69" s="59" t="s">
        <v>102</v>
      </c>
      <c r="C69" s="80"/>
      <c r="D69" s="80"/>
      <c r="E69" s="54"/>
      <c r="F69" s="54"/>
      <c r="G69" s="49"/>
      <c r="H69" s="54"/>
      <c r="I69" s="54"/>
      <c r="J69" s="49"/>
      <c r="K69" s="60"/>
      <c r="L69" s="54">
        <v>312.12292100000002</v>
      </c>
      <c r="M69" s="49"/>
      <c r="N69" s="54"/>
      <c r="O69" s="54"/>
      <c r="P69" s="49"/>
      <c r="Q69" s="54"/>
      <c r="R69" s="54"/>
      <c r="S69" s="49"/>
      <c r="T69" s="54"/>
      <c r="U69" s="54"/>
      <c r="V69" s="49"/>
      <c r="W69" s="70">
        <f t="shared" si="48"/>
        <v>0</v>
      </c>
      <c r="X69" s="70">
        <f t="shared" si="49"/>
        <v>312.12292100000002</v>
      </c>
      <c r="Y69" s="70">
        <f t="shared" si="50"/>
        <v>312.12292100000002</v>
      </c>
    </row>
    <row r="70" spans="1:25" s="57" customFormat="1" ht="15.95" customHeight="1" x14ac:dyDescent="0.25">
      <c r="A70" s="58"/>
      <c r="B70" s="59" t="s">
        <v>103</v>
      </c>
      <c r="C70" s="80"/>
      <c r="D70" s="80"/>
      <c r="E70" s="54"/>
      <c r="F70" s="54"/>
      <c r="G70" s="49"/>
      <c r="H70" s="54"/>
      <c r="I70" s="54"/>
      <c r="J70" s="49"/>
      <c r="K70" s="60"/>
      <c r="L70" s="54">
        <v>471.20113900000001</v>
      </c>
      <c r="M70" s="49"/>
      <c r="N70" s="54"/>
      <c r="O70" s="54"/>
      <c r="P70" s="49"/>
      <c r="Q70" s="54"/>
      <c r="R70" s="54"/>
      <c r="S70" s="49"/>
      <c r="T70" s="54"/>
      <c r="U70" s="54"/>
      <c r="V70" s="49"/>
      <c r="W70" s="70">
        <f t="shared" si="48"/>
        <v>0</v>
      </c>
      <c r="X70" s="70">
        <f t="shared" si="49"/>
        <v>471.20113900000001</v>
      </c>
      <c r="Y70" s="70">
        <f t="shared" si="50"/>
        <v>471.20113900000001</v>
      </c>
    </row>
    <row r="71" spans="1:25" s="57" customFormat="1" ht="15.95" customHeight="1" x14ac:dyDescent="0.25">
      <c r="A71" s="58"/>
      <c r="B71" s="59" t="s">
        <v>104</v>
      </c>
      <c r="C71" s="80"/>
      <c r="D71" s="80"/>
      <c r="E71" s="54"/>
      <c r="F71" s="54"/>
      <c r="G71" s="49"/>
      <c r="H71" s="54"/>
      <c r="I71" s="54"/>
      <c r="J71" s="49"/>
      <c r="K71" s="60"/>
      <c r="L71" s="54">
        <v>-229.672999</v>
      </c>
      <c r="M71" s="49"/>
      <c r="N71" s="54"/>
      <c r="O71" s="54"/>
      <c r="P71" s="49"/>
      <c r="Q71" s="54"/>
      <c r="R71" s="54"/>
      <c r="S71" s="49"/>
      <c r="T71" s="54"/>
      <c r="U71" s="54"/>
      <c r="V71" s="49"/>
      <c r="W71" s="70">
        <f t="shared" si="48"/>
        <v>0</v>
      </c>
      <c r="X71" s="70">
        <f t="shared" si="49"/>
        <v>-229.672999</v>
      </c>
      <c r="Y71" s="70">
        <f t="shared" si="50"/>
        <v>-229.672999</v>
      </c>
    </row>
    <row r="72" spans="1:25" s="57" customFormat="1" ht="15.95" customHeight="1" x14ac:dyDescent="0.25">
      <c r="A72" s="58"/>
      <c r="B72" s="59" t="s">
        <v>105</v>
      </c>
      <c r="C72" s="80"/>
      <c r="D72" s="80"/>
      <c r="E72" s="54"/>
      <c r="F72" s="54"/>
      <c r="G72" s="49"/>
      <c r="H72" s="54"/>
      <c r="I72" s="54"/>
      <c r="J72" s="49"/>
      <c r="K72" s="60"/>
      <c r="L72" s="54">
        <v>14.726639</v>
      </c>
      <c r="M72" s="49"/>
      <c r="N72" s="54"/>
      <c r="O72" s="54"/>
      <c r="P72" s="49"/>
      <c r="Q72" s="54"/>
      <c r="R72" s="54"/>
      <c r="S72" s="49"/>
      <c r="T72" s="54"/>
      <c r="U72" s="54"/>
      <c r="V72" s="49"/>
      <c r="W72" s="70">
        <f t="shared" si="48"/>
        <v>0</v>
      </c>
      <c r="X72" s="70">
        <f t="shared" si="49"/>
        <v>14.726639</v>
      </c>
      <c r="Y72" s="70">
        <f t="shared" si="50"/>
        <v>14.726639</v>
      </c>
    </row>
    <row r="73" spans="1:25" s="57" customFormat="1" ht="15.95" customHeight="1" x14ac:dyDescent="0.25">
      <c r="A73" s="58"/>
      <c r="B73" s="59" t="s">
        <v>106</v>
      </c>
      <c r="C73" s="80"/>
      <c r="D73" s="80"/>
      <c r="E73" s="54"/>
      <c r="F73" s="54"/>
      <c r="G73" s="49"/>
      <c r="H73" s="54"/>
      <c r="I73" s="54"/>
      <c r="J73" s="49"/>
      <c r="K73" s="60"/>
      <c r="L73" s="54">
        <v>-1866.3461299999999</v>
      </c>
      <c r="M73" s="49"/>
      <c r="N73" s="54"/>
      <c r="O73" s="54"/>
      <c r="P73" s="49"/>
      <c r="Q73" s="54"/>
      <c r="R73" s="54"/>
      <c r="S73" s="49"/>
      <c r="T73" s="54"/>
      <c r="U73" s="54"/>
      <c r="V73" s="49"/>
      <c r="W73" s="70">
        <f t="shared" si="48"/>
        <v>0</v>
      </c>
      <c r="X73" s="70">
        <f t="shared" si="49"/>
        <v>-1866.3461299999999</v>
      </c>
      <c r="Y73" s="70">
        <f t="shared" si="50"/>
        <v>-1866.3461299999999</v>
      </c>
    </row>
    <row r="74" spans="1:25" s="51" customFormat="1" ht="15.95" customHeight="1" x14ac:dyDescent="0.25">
      <c r="A74" s="2"/>
      <c r="B74" s="35" t="s">
        <v>107</v>
      </c>
      <c r="C74" s="39"/>
      <c r="D74" s="39"/>
      <c r="E74" s="32"/>
      <c r="F74" s="32"/>
      <c r="G74" s="36"/>
      <c r="H74" s="32"/>
      <c r="I74" s="32"/>
      <c r="J74" s="36"/>
      <c r="K74" s="36">
        <v>1480.4</v>
      </c>
      <c r="L74" s="32">
        <f>SUM(L67:L73)</f>
        <v>-390.54659099999981</v>
      </c>
      <c r="M74" s="36">
        <f>L74-K74</f>
        <v>-1870.9465909999999</v>
      </c>
      <c r="N74" s="32"/>
      <c r="O74" s="32"/>
      <c r="P74" s="36"/>
      <c r="Q74" s="32"/>
      <c r="R74" s="32"/>
      <c r="S74" s="36"/>
      <c r="T74" s="32"/>
      <c r="U74" s="32"/>
      <c r="V74" s="36"/>
      <c r="W74" s="36">
        <f t="shared" si="48"/>
        <v>1480.4</v>
      </c>
      <c r="X74" s="36">
        <f t="shared" si="49"/>
        <v>-390.54659099999981</v>
      </c>
      <c r="Y74" s="36">
        <f>X74-W74</f>
        <v>-1870.9465909999999</v>
      </c>
    </row>
    <row r="75" spans="1:25" s="51" customFormat="1" ht="33" customHeight="1" x14ac:dyDescent="0.25">
      <c r="A75" s="37"/>
      <c r="B75" s="35" t="s">
        <v>108</v>
      </c>
      <c r="C75" s="39"/>
      <c r="D75" s="39"/>
      <c r="E75" s="32">
        <f>E65+E74</f>
        <v>4015.26</v>
      </c>
      <c r="F75" s="32">
        <f t="shared" ref="F75:Y75" si="51">F65+F74</f>
        <v>3842.031920730592</v>
      </c>
      <c r="G75" s="32">
        <f t="shared" si="51"/>
        <v>-81.717027905096131</v>
      </c>
      <c r="H75" s="32">
        <f t="shared" si="51"/>
        <v>6199.35</v>
      </c>
      <c r="I75" s="32">
        <f t="shared" si="51"/>
        <v>4939.6763599504084</v>
      </c>
      <c r="J75" s="32">
        <f t="shared" si="51"/>
        <v>-1672.6159930484819</v>
      </c>
      <c r="K75" s="32">
        <f t="shared" si="51"/>
        <v>13724.4987</v>
      </c>
      <c r="L75" s="32">
        <f t="shared" si="51"/>
        <v>15634.093191504624</v>
      </c>
      <c r="M75" s="32">
        <f t="shared" si="51"/>
        <v>1296.9061907920063</v>
      </c>
      <c r="N75" s="32">
        <f t="shared" si="51"/>
        <v>0</v>
      </c>
      <c r="O75" s="32">
        <f t="shared" si="51"/>
        <v>0</v>
      </c>
      <c r="P75" s="32">
        <f t="shared" si="51"/>
        <v>0</v>
      </c>
      <c r="Q75" s="32">
        <f t="shared" si="51"/>
        <v>0</v>
      </c>
      <c r="R75" s="32">
        <f t="shared" si="51"/>
        <v>0</v>
      </c>
      <c r="S75" s="32">
        <f t="shared" si="51"/>
        <v>0</v>
      </c>
      <c r="T75" s="32">
        <f t="shared" si="51"/>
        <v>0</v>
      </c>
      <c r="U75" s="32">
        <f t="shared" si="51"/>
        <v>0</v>
      </c>
      <c r="V75" s="32">
        <f t="shared" si="51"/>
        <v>0</v>
      </c>
      <c r="W75" s="32">
        <f t="shared" si="51"/>
        <v>19923.848700000002</v>
      </c>
      <c r="X75" s="32">
        <f t="shared" si="51"/>
        <v>20573.769551455032</v>
      </c>
      <c r="Y75" s="32">
        <f t="shared" si="51"/>
        <v>649.92085145502961</v>
      </c>
    </row>
    <row r="76" spans="1:25" ht="21.75" customHeight="1" x14ac:dyDescent="0.25">
      <c r="B76" s="101" t="s">
        <v>90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x14ac:dyDescent="0.25">
      <c r="N77" s="5"/>
      <c r="O77" s="5"/>
      <c r="P77" s="6"/>
      <c r="Q77" s="5"/>
      <c r="R77" s="5"/>
      <c r="S77" s="6"/>
      <c r="T77" s="5"/>
      <c r="U77" s="5"/>
      <c r="V77" s="6"/>
      <c r="W77" s="6"/>
      <c r="X77" s="6"/>
      <c r="Y77" s="6"/>
    </row>
    <row r="78" spans="1:25" x14ac:dyDescent="0.25">
      <c r="N78" s="5"/>
      <c r="O78" s="5"/>
      <c r="P78" s="6"/>
      <c r="Q78" s="5"/>
      <c r="R78" s="5"/>
      <c r="S78" s="6"/>
      <c r="T78" s="5"/>
      <c r="U78" s="5"/>
      <c r="V78" s="6"/>
      <c r="W78" s="6"/>
      <c r="X78" s="6"/>
      <c r="Y78" s="6"/>
    </row>
    <row r="79" spans="1:25" x14ac:dyDescent="0.25">
      <c r="N79" s="5"/>
      <c r="O79" s="5"/>
      <c r="P79" s="6"/>
      <c r="Q79" s="5"/>
      <c r="R79" s="5"/>
      <c r="S79" s="6"/>
      <c r="T79" s="5"/>
      <c r="U79" s="5"/>
      <c r="V79" s="6"/>
      <c r="W79" s="6"/>
      <c r="X79" s="6"/>
      <c r="Y79" s="6"/>
    </row>
    <row r="80" spans="1:25" x14ac:dyDescent="0.25">
      <c r="N80" s="5"/>
      <c r="O80" s="5"/>
      <c r="P80" s="6"/>
      <c r="Q80" s="5"/>
      <c r="R80" s="5"/>
      <c r="S80" s="6"/>
      <c r="T80" s="5"/>
      <c r="U80" s="5"/>
      <c r="V80" s="6"/>
      <c r="W80" s="6"/>
      <c r="X80" s="6"/>
      <c r="Y80" s="6"/>
    </row>
    <row r="81" spans="3:25" x14ac:dyDescent="0.25">
      <c r="N81" s="5"/>
      <c r="O81" s="5"/>
      <c r="P81" s="6"/>
      <c r="Q81" s="5"/>
      <c r="R81" s="5"/>
      <c r="S81" s="6"/>
      <c r="T81" s="5"/>
      <c r="U81" s="5"/>
      <c r="V81" s="6"/>
      <c r="W81" s="6"/>
      <c r="X81" s="6"/>
      <c r="Y81" s="6"/>
    </row>
    <row r="82" spans="3:25" x14ac:dyDescent="0.25">
      <c r="N82" s="5"/>
      <c r="O82" s="5"/>
      <c r="P82" s="6"/>
      <c r="Q82" s="5"/>
      <c r="R82" s="5"/>
      <c r="S82" s="6"/>
      <c r="T82" s="5"/>
      <c r="U82" s="5"/>
      <c r="V82" s="6"/>
      <c r="W82" s="6"/>
      <c r="X82" s="6"/>
      <c r="Y82" s="6"/>
    </row>
    <row r="83" spans="3:25" x14ac:dyDescent="0.25">
      <c r="N83" s="5"/>
      <c r="O83" s="5"/>
      <c r="P83" s="6"/>
      <c r="Q83" s="5"/>
      <c r="R83" s="5"/>
      <c r="S83" s="6"/>
      <c r="T83" s="5"/>
      <c r="U83" s="5"/>
      <c r="V83" s="6"/>
      <c r="W83" s="6"/>
      <c r="X83" s="6"/>
      <c r="Y83" s="6"/>
    </row>
    <row r="84" spans="3:25" x14ac:dyDescent="0.25">
      <c r="N84" s="5"/>
      <c r="O84" s="5"/>
      <c r="P84" s="6"/>
      <c r="Q84" s="5"/>
      <c r="R84" s="5"/>
      <c r="S84" s="6"/>
      <c r="T84" s="5"/>
      <c r="U84" s="5"/>
      <c r="V84" s="6"/>
      <c r="W84" s="6"/>
      <c r="X84" s="6"/>
      <c r="Y84" s="6"/>
    </row>
    <row r="85" spans="3:25" x14ac:dyDescent="0.25">
      <c r="N85" s="5"/>
      <c r="O85" s="5"/>
      <c r="P85" s="6"/>
      <c r="Q85" s="5"/>
      <c r="R85" s="5"/>
      <c r="S85" s="6"/>
      <c r="T85" s="5"/>
      <c r="U85" s="5"/>
      <c r="V85" s="6"/>
      <c r="W85" s="6"/>
      <c r="X85" s="6"/>
      <c r="Y85" s="6"/>
    </row>
    <row r="86" spans="3:25" x14ac:dyDescent="0.25">
      <c r="N86" s="5"/>
      <c r="O86" s="5"/>
      <c r="P86" s="6"/>
      <c r="Q86" s="5"/>
      <c r="R86" s="5"/>
      <c r="S86" s="6"/>
      <c r="T86" s="5"/>
      <c r="U86" s="5"/>
      <c r="V86" s="6"/>
      <c r="W86" s="6"/>
      <c r="X86" s="6"/>
      <c r="Y86" s="6"/>
    </row>
    <row r="87" spans="3:25" x14ac:dyDescent="0.25">
      <c r="N87" s="5"/>
      <c r="O87" s="5"/>
      <c r="P87" s="6"/>
      <c r="Q87" s="5"/>
      <c r="R87" s="5"/>
      <c r="S87" s="6"/>
      <c r="T87" s="5"/>
      <c r="U87" s="5"/>
      <c r="V87" s="6"/>
      <c r="W87" s="6"/>
      <c r="X87" s="6"/>
      <c r="Y87" s="6"/>
    </row>
    <row r="88" spans="3:25" x14ac:dyDescent="0.25">
      <c r="C88" s="9"/>
      <c r="D88" s="9"/>
      <c r="E88" s="10"/>
      <c r="F88" s="10"/>
      <c r="G88" s="14"/>
      <c r="H88" s="10"/>
      <c r="I88" s="8"/>
      <c r="J88" s="11"/>
      <c r="K88" s="8"/>
      <c r="L88" s="8"/>
      <c r="M88" s="11"/>
      <c r="N88" s="8"/>
      <c r="O88" s="8"/>
      <c r="P88" s="11"/>
      <c r="Q88" s="8"/>
      <c r="R88" s="8"/>
      <c r="S88" s="11"/>
      <c r="T88" s="8"/>
      <c r="U88" s="8"/>
      <c r="V88" s="11"/>
      <c r="W88" s="6"/>
      <c r="X88" s="6"/>
      <c r="Y88" s="6"/>
    </row>
    <row r="89" spans="3:25" x14ac:dyDescent="0.25">
      <c r="C89" s="9"/>
      <c r="D89" s="9"/>
      <c r="E89" s="10"/>
      <c r="F89" s="10"/>
      <c r="G89" s="14"/>
      <c r="H89" s="10"/>
      <c r="I89" s="8"/>
      <c r="J89" s="11"/>
      <c r="K89" s="8"/>
      <c r="L89" s="8"/>
      <c r="M89" s="11"/>
      <c r="N89" s="8"/>
      <c r="O89" s="8"/>
      <c r="P89" s="11"/>
      <c r="Q89" s="8"/>
      <c r="R89" s="8"/>
      <c r="S89" s="11"/>
      <c r="T89" s="8"/>
      <c r="U89" s="8"/>
      <c r="V89" s="11"/>
      <c r="W89" s="6"/>
      <c r="X89" s="6"/>
      <c r="Y89" s="6"/>
    </row>
    <row r="90" spans="3:25" x14ac:dyDescent="0.25">
      <c r="N90" s="5"/>
      <c r="O90" s="5"/>
      <c r="P90" s="6"/>
      <c r="Q90" s="5"/>
      <c r="R90" s="5"/>
      <c r="S90" s="6"/>
      <c r="T90" s="5"/>
      <c r="U90" s="5"/>
      <c r="V90" s="6"/>
      <c r="W90" s="6"/>
      <c r="X90" s="6"/>
      <c r="Y90" s="6"/>
    </row>
    <row r="91" spans="3:25" x14ac:dyDescent="0.25">
      <c r="N91" s="5"/>
      <c r="O91" s="5"/>
      <c r="P91" s="6"/>
      <c r="Q91" s="5"/>
      <c r="R91" s="5"/>
      <c r="S91" s="6"/>
      <c r="T91" s="5"/>
      <c r="U91" s="5"/>
      <c r="V91" s="6"/>
      <c r="W91" s="6"/>
      <c r="X91" s="6"/>
      <c r="Y91" s="6"/>
    </row>
    <row r="92" spans="3:25" x14ac:dyDescent="0.25">
      <c r="N92" s="5"/>
      <c r="O92" s="5"/>
      <c r="P92" s="6"/>
      <c r="Q92" s="5"/>
      <c r="R92" s="5"/>
      <c r="S92" s="6"/>
      <c r="T92" s="5"/>
      <c r="U92" s="5"/>
      <c r="V92" s="6"/>
      <c r="W92" s="6"/>
      <c r="X92" s="6"/>
      <c r="Y92" s="6"/>
    </row>
    <row r="93" spans="3:25" x14ac:dyDescent="0.25">
      <c r="N93" s="5"/>
      <c r="O93" s="5"/>
      <c r="P93" s="6"/>
      <c r="Q93" s="5"/>
      <c r="R93" s="5"/>
      <c r="S93" s="6"/>
      <c r="T93" s="5"/>
      <c r="U93" s="5"/>
      <c r="V93" s="6"/>
      <c r="W93" s="6"/>
      <c r="X93" s="6"/>
      <c r="Y93" s="6"/>
    </row>
    <row r="94" spans="3:25" x14ac:dyDescent="0.25">
      <c r="N94" s="5"/>
      <c r="O94" s="5"/>
      <c r="P94" s="6"/>
      <c r="Q94" s="5"/>
      <c r="R94" s="5"/>
      <c r="S94" s="6"/>
      <c r="T94" s="5"/>
      <c r="U94" s="5"/>
      <c r="V94" s="6"/>
      <c r="W94" s="6"/>
      <c r="X94" s="6"/>
      <c r="Y94" s="6"/>
    </row>
    <row r="95" spans="3:25" x14ac:dyDescent="0.25">
      <c r="N95" s="5"/>
      <c r="O95" s="5"/>
      <c r="P95" s="6"/>
      <c r="Q95" s="5"/>
      <c r="R95" s="5"/>
      <c r="S95" s="6"/>
      <c r="T95" s="5"/>
      <c r="U95" s="5"/>
      <c r="V95" s="6"/>
      <c r="W95" s="6"/>
      <c r="X95" s="6"/>
      <c r="Y95" s="6"/>
    </row>
    <row r="96" spans="3:25" x14ac:dyDescent="0.25">
      <c r="N96" s="5"/>
      <c r="O96" s="5"/>
      <c r="P96" s="6"/>
      <c r="Q96" s="5"/>
      <c r="R96" s="5"/>
      <c r="S96" s="6"/>
      <c r="T96" s="5"/>
      <c r="U96" s="5"/>
      <c r="V96" s="6"/>
      <c r="W96" s="6"/>
      <c r="X96" s="6"/>
      <c r="Y96" s="6"/>
    </row>
    <row r="97" spans="14:25" x14ac:dyDescent="0.25">
      <c r="N97" s="5"/>
      <c r="O97" s="5"/>
      <c r="P97" s="6"/>
      <c r="Q97" s="5"/>
      <c r="R97" s="5"/>
      <c r="S97" s="6"/>
      <c r="T97" s="5"/>
      <c r="U97" s="5"/>
      <c r="V97" s="6"/>
      <c r="W97" s="6"/>
      <c r="X97" s="6"/>
      <c r="Y97" s="6"/>
    </row>
    <row r="98" spans="14:25" x14ac:dyDescent="0.25">
      <c r="W98" s="6"/>
      <c r="X98" s="6"/>
      <c r="Y98" s="6"/>
    </row>
    <row r="99" spans="14:25" x14ac:dyDescent="0.25">
      <c r="N99" s="5"/>
      <c r="O99" s="5"/>
      <c r="P99" s="6"/>
      <c r="Q99" s="5"/>
      <c r="R99" s="5"/>
      <c r="S99" s="6"/>
      <c r="T99" s="5"/>
      <c r="U99" s="5"/>
      <c r="V99" s="6"/>
      <c r="W99" s="6"/>
      <c r="X99" s="6"/>
      <c r="Y99" s="6"/>
    </row>
    <row r="100" spans="14:25" x14ac:dyDescent="0.25">
      <c r="W100" s="6"/>
      <c r="X100" s="6"/>
      <c r="Y100" s="6"/>
    </row>
  </sheetData>
  <mergeCells count="40">
    <mergeCell ref="B76:Y76"/>
    <mergeCell ref="R35:R36"/>
    <mergeCell ref="U35:U36"/>
    <mergeCell ref="A1:Y1"/>
    <mergeCell ref="A2:A4"/>
    <mergeCell ref="T3:V3"/>
    <mergeCell ref="W3:Y3"/>
    <mergeCell ref="B2:B4"/>
    <mergeCell ref="C35:C36"/>
    <mergeCell ref="D35:D36"/>
    <mergeCell ref="E35:E36"/>
    <mergeCell ref="G35:G36"/>
    <mergeCell ref="H35:H36"/>
    <mergeCell ref="J35:J36"/>
    <mergeCell ref="K35:K36"/>
    <mergeCell ref="M35:M36"/>
    <mergeCell ref="C2:C4"/>
    <mergeCell ref="D2:D4"/>
    <mergeCell ref="E2:G2"/>
    <mergeCell ref="H2:Y2"/>
    <mergeCell ref="E3:E4"/>
    <mergeCell ref="F3:F4"/>
    <mergeCell ref="G3:G4"/>
    <mergeCell ref="H3:J3"/>
    <mergeCell ref="K3:M3"/>
    <mergeCell ref="N3:P3"/>
    <mergeCell ref="Q3:S3"/>
    <mergeCell ref="F35:F36"/>
    <mergeCell ref="I35:I36"/>
    <mergeCell ref="L35:L36"/>
    <mergeCell ref="O35:O36"/>
    <mergeCell ref="V35:V36"/>
    <mergeCell ref="W35:W36"/>
    <mergeCell ref="X35:X36"/>
    <mergeCell ref="Y35:Y36"/>
    <mergeCell ref="N35:N36"/>
    <mergeCell ref="P35:P36"/>
    <mergeCell ref="Q35:Q36"/>
    <mergeCell ref="S35:S36"/>
    <mergeCell ref="T35:T36"/>
  </mergeCells>
  <printOptions horizontalCentered="1"/>
  <pageMargins left="0.59055118110236227" right="0.39370078740157483" top="0.39370078740157483" bottom="0.39370078740157483" header="0" footer="0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Jan'22</vt:lpstr>
      <vt:lpstr>Feb'22</vt:lpstr>
      <vt:lpstr>Mar'22</vt:lpstr>
      <vt:lpstr>CPDCL Q4 trueup</vt:lpstr>
      <vt:lpstr>'CPDCL Q4 trueup'!Print_Area</vt:lpstr>
      <vt:lpstr>'Feb''22'!Print_Area</vt:lpstr>
      <vt:lpstr>'Jan''22'!Print_Area</vt:lpstr>
      <vt:lpstr>'Mar''22'!Print_Area</vt:lpstr>
      <vt:lpstr>'CPDCL Q4 trueup'!Print_Titles</vt:lpstr>
      <vt:lpstr>'Feb''22'!Print_Titles</vt:lpstr>
      <vt:lpstr>'Jan''22'!Print_Titles</vt:lpstr>
      <vt:lpstr>'Mar''22'!Print_Titles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2022-08-02T12:13:48Z</dcterms:modified>
</cp:coreProperties>
</file>